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1.xml" ContentType="application/vnd.openxmlformats-officedocument.drawingml.chart+xml"/>
  <Override PartName="/xl/charts/style4.xml" ContentType="application/vnd.ms-office.chartstyle+xml"/>
  <Override PartName="/xl/charts/colors4.xml" ContentType="application/vnd.ms-office.chartcolorstyle+xml"/>
  <Override PartName="/xl/charts/chart2.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6.xml" ContentType="application/vnd.ms-office.chartstyle+xml"/>
  <Override PartName="/xl/charts/colors6.xml" ContentType="application/vnd.ms-office.chartcolorstyle+xml"/>
  <Override PartName="/xl/charts/chart4.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charts/chartEx4.xml" ContentType="application/vnd.ms-office.chartex+xml"/>
  <Override PartName="/xl/charts/style9.xml" ContentType="application/vnd.ms-office.chartstyle+xml"/>
  <Override PartName="/xl/charts/colors9.xml" ContentType="application/vnd.ms-office.chartcolorstyle+xml"/>
  <Override PartName="/xl/charts/chartEx5.xml" ContentType="application/vnd.ms-office.chartex+xml"/>
  <Override PartName="/xl/charts/style10.xml" ContentType="application/vnd.ms-office.chartstyle+xml"/>
  <Override PartName="/xl/charts/colors10.xml" ContentType="application/vnd.ms-office.chartcolorstyle+xml"/>
  <Override PartName="/xl/charts/chart8.xml" ContentType="application/vnd.openxmlformats-officedocument.drawingml.chart+xml"/>
  <Override PartName="/xl/charts/style11.xml" ContentType="application/vnd.ms-office.chartstyle+xml"/>
  <Override PartName="/xl/charts/colors11.xml" ContentType="application/vnd.ms-office.chartcolorstyle+xml"/>
  <Override PartName="/xl/charts/chart9.xml" ContentType="application/vnd.openxmlformats-officedocument.drawingml.chart+xml"/>
  <Override PartName="/xl/charts/style12.xml" ContentType="application/vnd.ms-office.chartstyle+xml"/>
  <Override PartName="/xl/charts/colors12.xml" ContentType="application/vnd.ms-office.chartcolorstyle+xml"/>
  <Override PartName="/xl/charts/chart10.xml" ContentType="application/vnd.openxmlformats-officedocument.drawingml.chart+xml"/>
  <Override PartName="/xl/charts/style13.xml" ContentType="application/vnd.ms-office.chartstyle+xml"/>
  <Override PartName="/xl/charts/colors13.xml" ContentType="application/vnd.ms-office.chartcolorstyle+xml"/>
  <Override PartName="/xl/charts/chart11.xml" ContentType="application/vnd.openxmlformats-officedocument.drawingml.chart+xml"/>
  <Override PartName="/xl/charts/style14.xml" ContentType="application/vnd.ms-office.chartstyle+xml"/>
  <Override PartName="/xl/charts/colors14.xml" ContentType="application/vnd.ms-office.chartcolorstyle+xml"/>
  <Override PartName="/xl/charts/chart12.xml" ContentType="application/vnd.openxmlformats-officedocument.drawingml.chart+xml"/>
  <Override PartName="/xl/charts/style15.xml" ContentType="application/vnd.ms-office.chartstyle+xml"/>
  <Override PartName="/xl/charts/colors15.xml" ContentType="application/vnd.ms-office.chartcolorstyle+xml"/>
  <Override PartName="/xl/charts/chart13.xml" ContentType="application/vnd.openxmlformats-officedocument.drawingml.chart+xml"/>
  <Override PartName="/xl/charts/style16.xml" ContentType="application/vnd.ms-office.chartstyle+xml"/>
  <Override PartName="/xl/charts/colors16.xml" ContentType="application/vnd.ms-office.chartcolorstyle+xml"/>
  <Override PartName="/xl/charts/chart14.xml" ContentType="application/vnd.openxmlformats-officedocument.drawingml.chart+xml"/>
  <Override PartName="/xl/charts/style17.xml" ContentType="application/vnd.ms-office.chartstyle+xml"/>
  <Override PartName="/xl/charts/colors17.xml" ContentType="application/vnd.ms-office.chartcolorstyle+xml"/>
  <Override PartName="/xl/charts/chart15.xml" ContentType="application/vnd.openxmlformats-officedocument.drawingml.chart+xml"/>
  <Override PartName="/xl/charts/style18.xml" ContentType="application/vnd.ms-office.chartstyle+xml"/>
  <Override PartName="/xl/charts/colors18.xml" ContentType="application/vnd.ms-office.chartcolorstyle+xml"/>
  <Override PartName="/xl/charts/chart16.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20.xml" ContentType="application/vnd.ms-office.chartstyle+xml"/>
  <Override PartName="/xl/charts/colors20.xml" ContentType="application/vnd.ms-office.chartcolorstyle+xml"/>
  <Override PartName="/xl/charts/chartEx6.xml" ContentType="application/vnd.ms-office.chartex+xml"/>
  <Override PartName="/xl/charts/style21.xml" ContentType="application/vnd.ms-office.chartstyle+xml"/>
  <Override PartName="/xl/charts/colors21.xml" ContentType="application/vnd.ms-office.chartcolorstyle+xml"/>
  <Override PartName="/xl/charts/chartEx7.xml" ContentType="application/vnd.ms-office.chartex+xml"/>
  <Override PartName="/xl/charts/style22.xml" ContentType="application/vnd.ms-office.chartstyle+xml"/>
  <Override PartName="/xl/charts/colors22.xml" ContentType="application/vnd.ms-office.chartcolorstyle+xml"/>
  <Override PartName="/xl/charts/chart18.xml" ContentType="application/vnd.openxmlformats-officedocument.drawingml.chart+xml"/>
  <Override PartName="/xl/charts/style23.xml" ContentType="application/vnd.ms-office.chartstyle+xml"/>
  <Override PartName="/xl/charts/colors23.xml" ContentType="application/vnd.ms-office.chartcolorstyle+xml"/>
  <Override PartName="/xl/charts/chart19.xml" ContentType="application/vnd.openxmlformats-officedocument.drawingml.chart+xml"/>
  <Override PartName="/xl/charts/style24.xml" ContentType="application/vnd.ms-office.chartstyle+xml"/>
  <Override PartName="/xl/charts/colors24.xml" ContentType="application/vnd.ms-office.chartcolorstyle+xml"/>
  <Override PartName="/xl/charts/chart20.xml" ContentType="application/vnd.openxmlformats-officedocument.drawingml.chart+xml"/>
  <Override PartName="/xl/charts/style25.xml" ContentType="application/vnd.ms-office.chartstyle+xml"/>
  <Override PartName="/xl/charts/colors25.xml" ContentType="application/vnd.ms-office.chartcolorstyle+xml"/>
  <Override PartName="/xl/charts/chart21.xml" ContentType="application/vnd.openxmlformats-officedocument.drawingml.chart+xml"/>
  <Override PartName="/xl/charts/style26.xml" ContentType="application/vnd.ms-office.chartstyle+xml"/>
  <Override PartName="/xl/charts/colors26.xml" ContentType="application/vnd.ms-office.chartcolorstyle+xml"/>
  <Override PartName="/xl/charts/chart22.xml" ContentType="application/vnd.openxmlformats-officedocument.drawingml.chart+xml"/>
  <Override PartName="/xl/charts/style27.xml" ContentType="application/vnd.ms-office.chartstyle+xml"/>
  <Override PartName="/xl/charts/colors27.xml" ContentType="application/vnd.ms-office.chartcolorstyle+xml"/>
  <Override PartName="/xl/charts/chart23.xml" ContentType="application/vnd.openxmlformats-officedocument.drawingml.chart+xml"/>
  <Override PartName="/xl/charts/style28.xml" ContentType="application/vnd.ms-office.chartstyle+xml"/>
  <Override PartName="/xl/charts/colors28.xml" ContentType="application/vnd.ms-office.chartcolorstyle+xml"/>
  <Override PartName="/xl/charts/chart24.xml" ContentType="application/vnd.openxmlformats-officedocument.drawingml.chart+xml"/>
  <Override PartName="/xl/charts/style29.xml" ContentType="application/vnd.ms-office.chartstyle+xml"/>
  <Override PartName="/xl/charts/colors29.xml" ContentType="application/vnd.ms-office.chartcolorstyle+xml"/>
  <Override PartName="/xl/charts/chart25.xml" ContentType="application/vnd.openxmlformats-officedocument.drawingml.chart+xml"/>
  <Override PartName="/xl/charts/style30.xml" ContentType="application/vnd.ms-office.chartstyle+xml"/>
  <Override PartName="/xl/charts/colors30.xml" ContentType="application/vnd.ms-office.chartcolorstyle+xml"/>
  <Override PartName="/xl/charts/chart26.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0.xml" ContentType="application/vnd.openxmlformats-officedocument.drawing+xml"/>
  <Override PartName="/xl/charts/chart27.xml" ContentType="application/vnd.openxmlformats-officedocument.drawingml.chart+xml"/>
  <Override PartName="/xl/charts/style32.xml" ContentType="application/vnd.ms-office.chartstyle+xml"/>
  <Override PartName="/xl/charts/colors32.xml" ContentType="application/vnd.ms-office.chartcolorstyle+xml"/>
  <Override PartName="/xl/charts/chartEx8.xml" ContentType="application/vnd.ms-office.chartex+xml"/>
  <Override PartName="/xl/charts/style33.xml" ContentType="application/vnd.ms-office.chartstyle+xml"/>
  <Override PartName="/xl/charts/colors33.xml" ContentType="application/vnd.ms-office.chartcolorstyle+xml"/>
  <Override PartName="/xl/charts/chartEx9.xml" ContentType="application/vnd.ms-office.chartex+xml"/>
  <Override PartName="/xl/charts/style34.xml" ContentType="application/vnd.ms-office.chartstyle+xml"/>
  <Override PartName="/xl/charts/colors34.xml" ContentType="application/vnd.ms-office.chartcolorstyle+xml"/>
  <Override PartName="/xl/charts/chart28.xml" ContentType="application/vnd.openxmlformats-officedocument.drawingml.chart+xml"/>
  <Override PartName="/xl/charts/style35.xml" ContentType="application/vnd.ms-office.chartstyle+xml"/>
  <Override PartName="/xl/charts/colors35.xml" ContentType="application/vnd.ms-office.chartcolorstyle+xml"/>
  <Override PartName="/xl/charts/chart29.xml" ContentType="application/vnd.openxmlformats-officedocument.drawingml.chart+xml"/>
  <Override PartName="/xl/charts/style36.xml" ContentType="application/vnd.ms-office.chartstyle+xml"/>
  <Override PartName="/xl/charts/colors36.xml" ContentType="application/vnd.ms-office.chartcolorstyle+xml"/>
  <Override PartName="/xl/charts/chart30.xml" ContentType="application/vnd.openxmlformats-officedocument.drawingml.chart+xml"/>
  <Override PartName="/xl/charts/style37.xml" ContentType="application/vnd.ms-office.chartstyle+xml"/>
  <Override PartName="/xl/charts/colors37.xml" ContentType="application/vnd.ms-office.chartcolorstyle+xml"/>
  <Override PartName="/xl/charts/chart31.xml" ContentType="application/vnd.openxmlformats-officedocument.drawingml.chart+xml"/>
  <Override PartName="/xl/charts/style38.xml" ContentType="application/vnd.ms-office.chartstyle+xml"/>
  <Override PartName="/xl/charts/colors38.xml" ContentType="application/vnd.ms-office.chartcolorstyle+xml"/>
  <Override PartName="/xl/charts/chart32.xml" ContentType="application/vnd.openxmlformats-officedocument.drawingml.chart+xml"/>
  <Override PartName="/xl/charts/style39.xml" ContentType="application/vnd.ms-office.chartstyle+xml"/>
  <Override PartName="/xl/charts/colors39.xml" ContentType="application/vnd.ms-office.chartcolorstyle+xml"/>
  <Override PartName="/xl/charts/chart33.xml" ContentType="application/vnd.openxmlformats-officedocument.drawingml.chart+xml"/>
  <Override PartName="/xl/charts/style40.xml" ContentType="application/vnd.ms-office.chartstyle+xml"/>
  <Override PartName="/xl/charts/colors40.xml" ContentType="application/vnd.ms-office.chartcolorstyle+xml"/>
  <Override PartName="/xl/charts/chart34.xml" ContentType="application/vnd.openxmlformats-officedocument.drawingml.chart+xml"/>
  <Override PartName="/xl/charts/style41.xml" ContentType="application/vnd.ms-office.chartstyle+xml"/>
  <Override PartName="/xl/charts/colors41.xml" ContentType="application/vnd.ms-office.chartcolorstyle+xml"/>
  <Override PartName="/xl/charts/chart35.xml" ContentType="application/vnd.openxmlformats-officedocument.drawingml.chart+xml"/>
  <Override PartName="/xl/charts/style42.xml" ContentType="application/vnd.ms-office.chartstyle+xml"/>
  <Override PartName="/xl/charts/colors42.xml" ContentType="application/vnd.ms-office.chartcolorstyle+xml"/>
  <Override PartName="/xl/charts/chart36.xml" ContentType="application/vnd.openxmlformats-officedocument.drawingml.chart+xml"/>
  <Override PartName="/xl/charts/style43.xml" ContentType="application/vnd.ms-office.chartstyle+xml"/>
  <Override PartName="/xl/charts/colors4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C:\Users\Steve\_SUMP PLUS\"/>
    </mc:Choice>
  </mc:AlternateContent>
  <xr:revisionPtr revIDLastSave="0" documentId="8_{F3EF1789-87F5-42E2-AF0C-F2C3EE084E33}" xr6:coauthVersionLast="47" xr6:coauthVersionMax="47" xr10:uidLastSave="{00000000-0000-0000-0000-000000000000}"/>
  <workbookProtection workbookAlgorithmName="SHA-512" workbookHashValue="QBqjR/dYYLwCk7207QR+8wCNxadrcItZJKHzpdWF6XO5yxiMvqKoTkv63C+ngalLJIgS4dK5Zv2GPTHZA/q1mA==" workbookSaltValue="bYibc1wI+ym4iRyRRFqC+g==" workbookSpinCount="100000" lockStructure="1"/>
  <bookViews>
    <workbookView xWindow="-110" yWindow="-110" windowWidth="19420" windowHeight="10420" tabRatio="819" firstSheet="1" activeTab="5" xr2:uid="{00000000-000D-0000-FFFF-FFFF00000000}"/>
  </bookViews>
  <sheets>
    <sheet name="Introduction" sheetId="36" r:id="rId1"/>
    <sheet name="Background" sheetId="37" r:id="rId2"/>
    <sheet name="1 StrategyMix for CarbonTargets" sheetId="21" r:id="rId3"/>
    <sheet name="2 Stress Test Strategy Mix" sheetId="27" r:id="rId4"/>
    <sheet name="3 Adjust Strategy Timings " sheetId="34" r:id="rId5"/>
    <sheet name="4 Impacts On Other Objectives" sheetId="29" r:id="rId6"/>
    <sheet name="Configuration Settings" sheetId="33" r:id="rId7"/>
    <sheet name="Main calculations" sheetId="20" state="hidden" r:id="rId8"/>
    <sheet name="Stress calculations" sheetId="28" state="hidden" r:id="rId9"/>
    <sheet name="Timing calculations" sheetId="35" state="hidden" r:id="rId10"/>
    <sheet name="Sheet4_Considerations" sheetId="32" state="hidden" r:id="rId11"/>
    <sheet name="WfH" sheetId="2" state="hidden" r:id="rId12"/>
    <sheet name="DaS" sheetId="4" state="hidden" r:id="rId13"/>
    <sheet name="HdF" sheetId="17" state="hidden" r:id="rId14"/>
    <sheet name="Localise" sheetId="18" state="hidden" r:id="rId15"/>
    <sheet name="SHIFT_from car driver" sheetId="11" state="hidden" r:id="rId16"/>
    <sheet name="IMPROVE" sheetId="13" state="hidden" r:id="rId17"/>
    <sheet name="NTS9911_20182019" sheetId="8" state="hidden" r:id="rId18"/>
  </sheets>
  <externalReferences>
    <externalReference r:id="rId19"/>
  </externalReferences>
  <definedNames>
    <definedName name="_xlchart.v1.0" hidden="1">'Main calculations'!$K$10:$Y$10</definedName>
    <definedName name="_xlchart.v1.1" hidden="1">'Main calculations'!$K$3:$Y$3</definedName>
    <definedName name="_xlchart.v1.10" hidden="1">'Stress calculations'!$K$3:$Y$3</definedName>
    <definedName name="_xlchart.v1.11" hidden="1">'Stress calculations'!$K$9:$Y$9</definedName>
    <definedName name="_xlchart.v1.12" hidden="1">'Stress calculations'!$K$3:$Y$3</definedName>
    <definedName name="_xlchart.v1.13" hidden="1">'Stress calculations'!$K$6:$Y$6</definedName>
    <definedName name="_xlchart.v1.14" hidden="1">'Timing calculations'!$K$3:$Y$3</definedName>
    <definedName name="_xlchart.v1.15" hidden="1">'Timing calculations'!$K$6:$Y$6</definedName>
    <definedName name="_xlchart.v1.16" hidden="1">'Timing calculations'!$K$3:$Y$3</definedName>
    <definedName name="_xlchart.v1.17" hidden="1">'Timing calculations'!$K$9:$Y$9</definedName>
    <definedName name="_xlchart.v1.2" hidden="1">'Stress calculations'!$K$3:$Y$3</definedName>
    <definedName name="_xlchart.v1.3" hidden="1">'Stress calculations'!$K$6:$Y$6</definedName>
    <definedName name="_xlchart.v1.4" hidden="1">'Stress calculations'!$K$3:$Y$3</definedName>
    <definedName name="_xlchart.v1.5" hidden="1">'Stress calculations'!$K$9:$Y$9</definedName>
    <definedName name="_xlchart.v1.6" hidden="1">'Main calculations'!$K$3:$Y$3</definedName>
    <definedName name="_xlchart.v1.7" hidden="1">'Main calculations'!$K$9:$Y$9</definedName>
    <definedName name="_xlchart.v1.8" hidden="1">'Main calculations'!$K$3:$Y$3</definedName>
    <definedName name="_xlchart.v1.9" hidden="1">'Main calculations'!$K$6:$Y$6</definedName>
    <definedName name="Chart0">#REF!</definedName>
    <definedName name="Chart10">#REF!</definedName>
    <definedName name="Chart100">#REF!</definedName>
    <definedName name="Chart20">#REF!</definedName>
    <definedName name="Chart40">#REF!</definedName>
    <definedName name="Chart60">#REF!</definedName>
    <definedName name="Chart80">#REF!</definedName>
    <definedName name="ChartLabels" localSheetId="8">CHOOSE('Stress calculations'!$AL$22,'Stress calculations'!$K$3:$AL$3,'Stress calculations'!$K$3:$AL$3)</definedName>
    <definedName name="ChartLabels" localSheetId="9">CHOOSE('Timing calculations'!$AL$13,'Timing calculations'!$K$3:$AL$3,'Timing calculations'!$K$3:$AL$3)</definedName>
    <definedName name="ChartLabels">CHOOSE('Main calculations'!$AL$13,'Main calculations'!$K$3:$AL$3,'Main calculations'!$K$3:$AL$3)</definedName>
    <definedName name="ChartSource" localSheetId="8">CHOOSE('Stress calculations'!$AL$22,'Stress calculations'!$K$6:$AL$6,'Stress calculations'!$K$9:$AL$9)</definedName>
    <definedName name="ChartSource" localSheetId="9">CHOOSE('Timing calculations'!$AL$13,'Timing calculations'!$K$6:$AL$6,'Timing calculations'!$K$9:$AL$9)</definedName>
    <definedName name="ChartSource">CHOOSE('Main calculations'!$AL$13,'Main calculations'!$K$6:$AL$6,'Main calculations'!$K$9:$AL$9)</definedName>
    <definedName name="select2">CHOOSE(#REF!,Chart100,Chart80,Chart60,Chart40,Chart20,Chart10,Chart0)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9" l="1"/>
  <c r="JA3" i="20" l="1"/>
  <c r="EY1" i="28"/>
  <c r="EY123" i="35"/>
  <c r="EY121" i="35"/>
  <c r="EY121" i="28"/>
  <c r="EY121" i="20"/>
  <c r="EY123" i="20"/>
  <c r="EY1" i="20"/>
  <c r="E39" i="29"/>
  <c r="E38" i="29"/>
  <c r="E37" i="29"/>
  <c r="E36" i="29"/>
  <c r="E35" i="29"/>
  <c r="E34" i="29"/>
  <c r="E33" i="29"/>
  <c r="D39" i="29"/>
  <c r="D38" i="29"/>
  <c r="D37" i="29"/>
  <c r="D36" i="29"/>
  <c r="D35" i="29"/>
  <c r="D34" i="29"/>
  <c r="D33" i="29"/>
  <c r="E32" i="29"/>
  <c r="M17" i="29"/>
  <c r="L17" i="29"/>
  <c r="K17" i="29"/>
  <c r="J17" i="29"/>
  <c r="I17" i="29"/>
  <c r="H17" i="29"/>
  <c r="G17" i="29"/>
  <c r="F17" i="29"/>
  <c r="M16" i="29"/>
  <c r="L16" i="29"/>
  <c r="K16" i="29"/>
  <c r="J16" i="29"/>
  <c r="I16" i="29"/>
  <c r="H16" i="29"/>
  <c r="G16" i="29"/>
  <c r="F16" i="29"/>
  <c r="M15" i="29"/>
  <c r="L15" i="29"/>
  <c r="K15" i="29"/>
  <c r="J15" i="29"/>
  <c r="I15" i="29"/>
  <c r="H15" i="29"/>
  <c r="G15" i="29"/>
  <c r="F15" i="29"/>
  <c r="M14" i="29"/>
  <c r="L14" i="29"/>
  <c r="K14" i="29"/>
  <c r="J14" i="29"/>
  <c r="I14" i="29"/>
  <c r="H14" i="29"/>
  <c r="G14" i="29"/>
  <c r="F14" i="29"/>
  <c r="M13" i="29"/>
  <c r="L13" i="29"/>
  <c r="K13" i="29"/>
  <c r="J13" i="29"/>
  <c r="I13" i="29"/>
  <c r="H13" i="29"/>
  <c r="G13" i="29"/>
  <c r="F13" i="29"/>
  <c r="F18" i="29"/>
  <c r="G18" i="29"/>
  <c r="H18" i="29"/>
  <c r="I18" i="29"/>
  <c r="J18" i="29"/>
  <c r="K18" i="29"/>
  <c r="L18" i="29"/>
  <c r="M18" i="29"/>
  <c r="F19" i="29"/>
  <c r="G19" i="29"/>
  <c r="H19" i="29"/>
  <c r="I19" i="29"/>
  <c r="J19" i="29"/>
  <c r="K19" i="29"/>
  <c r="L19" i="29"/>
  <c r="M19" i="29"/>
  <c r="F20" i="29"/>
  <c r="G20" i="29"/>
  <c r="H20" i="29"/>
  <c r="I20" i="29"/>
  <c r="J20" i="29"/>
  <c r="K20" i="29"/>
  <c r="L20" i="29"/>
  <c r="M20" i="29"/>
  <c r="M12" i="29"/>
  <c r="L12" i="29"/>
  <c r="K12" i="29"/>
  <c r="J12" i="29"/>
  <c r="I12" i="29"/>
  <c r="H12" i="29"/>
  <c r="G12" i="29"/>
  <c r="F12" i="29"/>
  <c r="M11" i="29"/>
  <c r="L11" i="29"/>
  <c r="K11" i="29"/>
  <c r="J11" i="29"/>
  <c r="I11" i="29"/>
  <c r="H11" i="29"/>
  <c r="G11" i="29"/>
  <c r="F11" i="29"/>
  <c r="D32" i="29"/>
  <c r="M10" i="29"/>
  <c r="L10" i="29"/>
  <c r="K10" i="29"/>
  <c r="J10" i="29"/>
  <c r="I10" i="29"/>
  <c r="H10" i="29"/>
  <c r="G10" i="29"/>
  <c r="F10" i="29"/>
  <c r="AW9" i="35" l="1"/>
  <c r="AW6" i="35"/>
  <c r="AV9" i="35"/>
  <c r="AV6" i="35"/>
  <c r="AW9" i="28"/>
  <c r="AV9" i="28"/>
  <c r="AW6" i="28"/>
  <c r="AV6" i="28"/>
  <c r="AW9" i="20"/>
  <c r="AV9" i="20"/>
  <c r="AW6" i="20"/>
  <c r="AV6" i="20"/>
  <c r="X27" i="34"/>
  <c r="W27" i="34"/>
  <c r="X25" i="34"/>
  <c r="W25" i="34"/>
  <c r="U27" i="34"/>
  <c r="U25" i="34"/>
  <c r="A33" i="35"/>
  <c r="A31" i="35"/>
  <c r="A32" i="35"/>
  <c r="A33" i="28"/>
  <c r="A32" i="28"/>
  <c r="A31" i="28"/>
  <c r="A33" i="20"/>
  <c r="A32" i="20"/>
  <c r="JG3" i="35"/>
  <c r="EY1" i="35"/>
  <c r="BU9" i="35"/>
  <c r="BQ9" i="35"/>
  <c r="BM9" i="35"/>
  <c r="BI9" i="35"/>
  <c r="BE9" i="35"/>
  <c r="BU6" i="35"/>
  <c r="BQ6" i="35"/>
  <c r="BM6" i="35"/>
  <c r="BI6" i="35"/>
  <c r="BE6" i="35"/>
  <c r="BV9" i="35"/>
  <c r="BT9" i="35"/>
  <c r="BR9" i="35"/>
  <c r="BP9" i="35"/>
  <c r="BN9" i="35"/>
  <c r="BL9" i="35"/>
  <c r="BJ9" i="35"/>
  <c r="BH9" i="35"/>
  <c r="BF9" i="35"/>
  <c r="BD9" i="35"/>
  <c r="BV6" i="35"/>
  <c r="BT6" i="35"/>
  <c r="BR6" i="35"/>
  <c r="BP6" i="35"/>
  <c r="BP11" i="35" s="1"/>
  <c r="BN6" i="35"/>
  <c r="BN11" i="35" s="1"/>
  <c r="BL6" i="35"/>
  <c r="BJ6" i="35"/>
  <c r="BH6" i="35"/>
  <c r="BH11" i="35" s="1"/>
  <c r="BF6" i="35"/>
  <c r="BD6" i="35"/>
  <c r="BD11" i="35" s="1"/>
  <c r="BB9" i="35"/>
  <c r="BB6" i="35"/>
  <c r="BB11" i="35" s="1"/>
  <c r="BA9" i="35"/>
  <c r="BA6" i="35"/>
  <c r="AZ9" i="35"/>
  <c r="AZ6" i="35"/>
  <c r="AY9" i="35"/>
  <c r="AY6" i="35"/>
  <c r="AU9" i="35"/>
  <c r="AS9" i="35"/>
  <c r="AR9" i="35"/>
  <c r="AU6" i="35"/>
  <c r="AS6" i="35"/>
  <c r="AR6" i="35"/>
  <c r="AQ9" i="35"/>
  <c r="AQ6" i="35"/>
  <c r="X40" i="34"/>
  <c r="W40" i="34"/>
  <c r="X37" i="34"/>
  <c r="W37" i="34"/>
  <c r="X34" i="34"/>
  <c r="W34" i="34"/>
  <c r="X32" i="34"/>
  <c r="W32" i="34"/>
  <c r="X23" i="34"/>
  <c r="W23" i="34"/>
  <c r="X19" i="34"/>
  <c r="W19" i="34"/>
  <c r="X16" i="34"/>
  <c r="W16" i="34"/>
  <c r="X13" i="34"/>
  <c r="W13" i="34"/>
  <c r="X11" i="34"/>
  <c r="W11" i="34"/>
  <c r="U40" i="34"/>
  <c r="U37" i="34"/>
  <c r="U34" i="34"/>
  <c r="U32" i="34"/>
  <c r="U31" i="34"/>
  <c r="U23" i="34"/>
  <c r="U19" i="34"/>
  <c r="U16" i="34"/>
  <c r="U13" i="34"/>
  <c r="U11" i="34"/>
  <c r="AP9" i="35"/>
  <c r="AP6" i="35"/>
  <c r="JD7" i="35"/>
  <c r="A50" i="35"/>
  <c r="BW44" i="35"/>
  <c r="BS44" i="35"/>
  <c r="BO44" i="35"/>
  <c r="BK44" i="35"/>
  <c r="BG44" i="35"/>
  <c r="BC44" i="35"/>
  <c r="A44" i="35"/>
  <c r="IY40" i="35"/>
  <c r="A40" i="35"/>
  <c r="IY39" i="35"/>
  <c r="IY38" i="35"/>
  <c r="A38" i="35"/>
  <c r="IY37" i="35"/>
  <c r="IY36" i="35"/>
  <c r="IY35" i="35"/>
  <c r="A35" i="35"/>
  <c r="BX1" i="35" s="1"/>
  <c r="IY34" i="35"/>
  <c r="IY33" i="35"/>
  <c r="IY32" i="35"/>
  <c r="IY31" i="35"/>
  <c r="IY30" i="35"/>
  <c r="IY29" i="35"/>
  <c r="IY28" i="35"/>
  <c r="IY27" i="35"/>
  <c r="IY26" i="35"/>
  <c r="IY25" i="35"/>
  <c r="A25" i="35"/>
  <c r="IY24" i="35"/>
  <c r="IY23" i="35"/>
  <c r="IY22" i="35"/>
  <c r="A22" i="35"/>
  <c r="IY21" i="35"/>
  <c r="IY20" i="35"/>
  <c r="IY19" i="35"/>
  <c r="A19" i="35"/>
  <c r="IY18" i="35"/>
  <c r="IY17" i="35"/>
  <c r="IY16" i="35"/>
  <c r="A16" i="35"/>
  <c r="IY15" i="35"/>
  <c r="IY14" i="35"/>
  <c r="IY13" i="35"/>
  <c r="IY12" i="35"/>
  <c r="IY11" i="35"/>
  <c r="A11" i="35"/>
  <c r="IY10" i="35"/>
  <c r="K10" i="35"/>
  <c r="A9" i="35"/>
  <c r="J31" i="35" s="1" a="1"/>
  <c r="J31" i="35" s="1"/>
  <c r="IM7" i="35"/>
  <c r="HX7" i="35"/>
  <c r="HI7" i="35"/>
  <c r="GT7" i="35"/>
  <c r="GE7" i="35"/>
  <c r="FP7" i="35"/>
  <c r="FA7" i="35"/>
  <c r="A6" i="35"/>
  <c r="M6" i="35" s="1"/>
  <c r="IL5" i="35"/>
  <c r="IM5" i="35" s="1"/>
  <c r="IN5" i="35" s="1"/>
  <c r="IO5" i="35" s="1"/>
  <c r="IP5" i="35" s="1"/>
  <c r="IQ5" i="35" s="1"/>
  <c r="IR5" i="35" s="1"/>
  <c r="IS5" i="35" s="1"/>
  <c r="IT5" i="35" s="1"/>
  <c r="IU5" i="35" s="1"/>
  <c r="IV5" i="35" s="1"/>
  <c r="IW5" i="35" s="1"/>
  <c r="HW5" i="35"/>
  <c r="HX5" i="35" s="1"/>
  <c r="HY5" i="35" s="1"/>
  <c r="HZ5" i="35" s="1"/>
  <c r="IA5" i="35" s="1"/>
  <c r="IB5" i="35" s="1"/>
  <c r="IC5" i="35" s="1"/>
  <c r="ID5" i="35" s="1"/>
  <c r="IE5" i="35" s="1"/>
  <c r="IF5" i="35" s="1"/>
  <c r="IG5" i="35" s="1"/>
  <c r="IH5" i="35" s="1"/>
  <c r="HH5" i="35"/>
  <c r="HI5" i="35" s="1"/>
  <c r="HJ5" i="35" s="1"/>
  <c r="HK5" i="35" s="1"/>
  <c r="HL5" i="35" s="1"/>
  <c r="HM5" i="35" s="1"/>
  <c r="HN5" i="35" s="1"/>
  <c r="HO5" i="35" s="1"/>
  <c r="HP5" i="35" s="1"/>
  <c r="HQ5" i="35" s="1"/>
  <c r="HR5" i="35" s="1"/>
  <c r="HS5" i="35" s="1"/>
  <c r="GS5" i="35"/>
  <c r="GT5" i="35" s="1"/>
  <c r="GU5" i="35" s="1"/>
  <c r="GV5" i="35" s="1"/>
  <c r="GW5" i="35" s="1"/>
  <c r="GX5" i="35" s="1"/>
  <c r="GY5" i="35" s="1"/>
  <c r="GZ5" i="35" s="1"/>
  <c r="HA5" i="35" s="1"/>
  <c r="HB5" i="35" s="1"/>
  <c r="HC5" i="35" s="1"/>
  <c r="HD5" i="35" s="1"/>
  <c r="GD5" i="35"/>
  <c r="GE5" i="35" s="1"/>
  <c r="GF5" i="35" s="1"/>
  <c r="GG5" i="35" s="1"/>
  <c r="GH5" i="35" s="1"/>
  <c r="GI5" i="35" s="1"/>
  <c r="GJ5" i="35" s="1"/>
  <c r="GK5" i="35" s="1"/>
  <c r="GL5" i="35" s="1"/>
  <c r="GM5" i="35" s="1"/>
  <c r="GN5" i="35" s="1"/>
  <c r="GO5" i="35" s="1"/>
  <c r="FP5" i="35"/>
  <c r="FQ5" i="35" s="1"/>
  <c r="FR5" i="35" s="1"/>
  <c r="FS5" i="35" s="1"/>
  <c r="FT5" i="35" s="1"/>
  <c r="FU5" i="35" s="1"/>
  <c r="FV5" i="35" s="1"/>
  <c r="FW5" i="35" s="1"/>
  <c r="FX5" i="35" s="1"/>
  <c r="FY5" i="35" s="1"/>
  <c r="FZ5" i="35" s="1"/>
  <c r="FO5" i="35"/>
  <c r="EZ5" i="35"/>
  <c r="FA5" i="35" s="1"/>
  <c r="FB5" i="35" s="1"/>
  <c r="FC5" i="35" s="1"/>
  <c r="FD5" i="35" s="1"/>
  <c r="FE5" i="35" s="1"/>
  <c r="FF5" i="35" s="1"/>
  <c r="FG5" i="35" s="1"/>
  <c r="FH5" i="35" s="1"/>
  <c r="FI5" i="35" s="1"/>
  <c r="FJ5" i="35" s="1"/>
  <c r="FK5" i="35" s="1"/>
  <c r="A3" i="35"/>
  <c r="IN13" i="35" s="1"/>
  <c r="B49" i="13"/>
  <c r="B9" i="13"/>
  <c r="F5" i="13"/>
  <c r="AJ5" i="13" s="1"/>
  <c r="G56" i="18"/>
  <c r="M6" i="11"/>
  <c r="L6" i="11"/>
  <c r="K6" i="11"/>
  <c r="I6" i="11"/>
  <c r="H6" i="11"/>
  <c r="G6" i="11"/>
  <c r="E6" i="11"/>
  <c r="D6" i="11"/>
  <c r="C6" i="11"/>
  <c r="E7" i="18"/>
  <c r="I7" i="18" s="1"/>
  <c r="D7" i="18"/>
  <c r="H7" i="18" s="1"/>
  <c r="C7" i="18"/>
  <c r="G7" i="18" s="1"/>
  <c r="E7" i="17"/>
  <c r="I7" i="17" s="1"/>
  <c r="D7" i="17"/>
  <c r="H7" i="17" s="1"/>
  <c r="C7" i="17"/>
  <c r="G7" i="17" s="1"/>
  <c r="E7" i="4"/>
  <c r="I7" i="4" s="1"/>
  <c r="D7" i="4"/>
  <c r="H7" i="4" s="1"/>
  <c r="C7" i="4"/>
  <c r="G7" i="4" s="1"/>
  <c r="E7" i="2"/>
  <c r="I7" i="2" s="1"/>
  <c r="D7" i="2"/>
  <c r="H7" i="2" s="1"/>
  <c r="C7" i="2"/>
  <c r="G7" i="2" s="1"/>
  <c r="J33" i="35" l="1" a="1"/>
  <c r="J33" i="35" s="1"/>
  <c r="V4" i="35" s="1"/>
  <c r="I32" i="35" a="1"/>
  <c r="I32" i="35" s="1"/>
  <c r="I31" i="35" a="1"/>
  <c r="I31" i="35" s="1"/>
  <c r="H32" i="35" a="1"/>
  <c r="H32" i="35" s="1"/>
  <c r="J32" i="35" a="1"/>
  <c r="J32" i="35" s="1"/>
  <c r="U4" i="35" s="1"/>
  <c r="H33" i="35" a="1"/>
  <c r="H33" i="35" s="1"/>
  <c r="I33" i="35" a="1"/>
  <c r="I33" i="35" s="1"/>
  <c r="H31" i="35" a="1"/>
  <c r="H31" i="35" s="1"/>
  <c r="M9" i="35"/>
  <c r="M10" i="35" s="1"/>
  <c r="I3" i="35"/>
  <c r="BY1" i="35"/>
  <c r="BL11" i="35"/>
  <c r="GC10" i="35"/>
  <c r="BT11" i="35"/>
  <c r="HW10" i="35"/>
  <c r="GF11" i="35"/>
  <c r="GU11" i="35"/>
  <c r="ED13" i="35"/>
  <c r="GC13" i="35"/>
  <c r="BF11" i="35"/>
  <c r="J3" i="35"/>
  <c r="GC8" i="35"/>
  <c r="GE8" i="35" s="1"/>
  <c r="GD10" i="35"/>
  <c r="IK10" i="35"/>
  <c r="JB10" i="35" s="1"/>
  <c r="BJ11" i="35"/>
  <c r="FB11" i="35"/>
  <c r="FQ11" i="35"/>
  <c r="EY13" i="35"/>
  <c r="EY129" i="35" s="1"/>
  <c r="GU13" i="35"/>
  <c r="HJ13" i="35"/>
  <c r="EZ1" i="35"/>
  <c r="GE10" i="35"/>
  <c r="IL10" i="35"/>
  <c r="FQ13" i="35"/>
  <c r="GF13" i="35"/>
  <c r="GS10" i="35"/>
  <c r="IM10" i="35"/>
  <c r="AZ11" i="35"/>
  <c r="EA12" i="35"/>
  <c r="HV12" i="35"/>
  <c r="IK12" i="35"/>
  <c r="FB13" i="35"/>
  <c r="IK13" i="35"/>
  <c r="GU15" i="35"/>
  <c r="AQ11" i="35"/>
  <c r="BV11" i="35"/>
  <c r="HG8" i="35"/>
  <c r="HI8" i="35" s="1"/>
  <c r="EY10" i="35"/>
  <c r="EY126" i="35" s="1"/>
  <c r="FL126" i="35" s="1"/>
  <c r="FL127" i="35" s="1"/>
  <c r="FL128" i="35" s="1"/>
  <c r="FL129" i="35" s="1"/>
  <c r="FL130" i="35" s="1"/>
  <c r="FL131" i="35" s="1"/>
  <c r="FL132" i="35" s="1"/>
  <c r="FL133" i="35" s="1"/>
  <c r="FL134" i="35" s="1"/>
  <c r="FL135" i="35" s="1"/>
  <c r="FL136" i="35" s="1"/>
  <c r="FL137" i="35" s="1"/>
  <c r="FL138" i="35" s="1"/>
  <c r="FL139" i="35" s="1"/>
  <c r="FL140" i="35" s="1"/>
  <c r="FL141" i="35" s="1"/>
  <c r="FL142" i="35" s="1"/>
  <c r="FL143" i="35" s="1"/>
  <c r="FL144" i="35" s="1"/>
  <c r="FL145" i="35" s="1"/>
  <c r="FL146" i="35" s="1"/>
  <c r="FL147" i="35" s="1"/>
  <c r="FL148" i="35" s="1"/>
  <c r="FL149" i="35" s="1"/>
  <c r="FL150" i="35" s="1"/>
  <c r="FL151" i="35" s="1"/>
  <c r="FL152" i="35" s="1"/>
  <c r="FL153" i="35" s="1"/>
  <c r="FL154" i="35" s="1"/>
  <c r="FL155" i="35" s="1"/>
  <c r="FL156" i="35" s="1"/>
  <c r="GT10" i="35"/>
  <c r="AQ12" i="35"/>
  <c r="GR12" i="35"/>
  <c r="HG12" i="35"/>
  <c r="HY12" i="35"/>
  <c r="M8" i="35"/>
  <c r="FA10" i="35"/>
  <c r="JG10" i="35" s="1"/>
  <c r="JH10" i="35" s="1"/>
  <c r="HG10" i="35"/>
  <c r="CM12" i="35"/>
  <c r="FN12" i="35"/>
  <c r="GC12" i="35"/>
  <c r="GU12" i="35"/>
  <c r="IN40" i="35"/>
  <c r="HJ40" i="35"/>
  <c r="GF40" i="35"/>
  <c r="FB40" i="35"/>
  <c r="EA39" i="35"/>
  <c r="ED40" i="35"/>
  <c r="HY40" i="35"/>
  <c r="GU40" i="35"/>
  <c r="FQ40" i="35"/>
  <c r="IN39" i="35"/>
  <c r="HJ39" i="35"/>
  <c r="GF39" i="35"/>
  <c r="FB39" i="35"/>
  <c r="EA40" i="35"/>
  <c r="GU39" i="35"/>
  <c r="EY39" i="35"/>
  <c r="EY155" i="35" s="1"/>
  <c r="EA38" i="35"/>
  <c r="HV37" i="35"/>
  <c r="GR37" i="35"/>
  <c r="FN37" i="35"/>
  <c r="CM37" i="35"/>
  <c r="HG39" i="35"/>
  <c r="GR39" i="35"/>
  <c r="IN37" i="35"/>
  <c r="HJ37" i="35"/>
  <c r="GF37" i="35"/>
  <c r="FB37" i="35"/>
  <c r="IK40" i="35"/>
  <c r="GC40" i="35"/>
  <c r="IK39" i="35"/>
  <c r="HV39" i="35"/>
  <c r="HV38" i="35"/>
  <c r="GR38" i="35"/>
  <c r="FN38" i="35"/>
  <c r="CM38" i="35"/>
  <c r="ED37" i="35"/>
  <c r="IK37" i="35"/>
  <c r="HG37" i="35"/>
  <c r="GC37" i="35"/>
  <c r="EY37" i="35"/>
  <c r="EY153" i="35" s="1"/>
  <c r="GR40" i="35"/>
  <c r="IN38" i="35"/>
  <c r="HJ38" i="35"/>
  <c r="GF38" i="35"/>
  <c r="FB38" i="35"/>
  <c r="EA37" i="35"/>
  <c r="ED38" i="35"/>
  <c r="HG40" i="35"/>
  <c r="EY40" i="35"/>
  <c r="EY156" i="35" s="1"/>
  <c r="FQ39" i="35"/>
  <c r="IK38" i="35"/>
  <c r="HG38" i="35"/>
  <c r="GC38" i="35"/>
  <c r="EY38" i="35"/>
  <c r="EY154" i="35" s="1"/>
  <c r="ED39" i="35"/>
  <c r="ED35" i="35"/>
  <c r="IK34" i="35"/>
  <c r="HG34" i="35"/>
  <c r="GC34" i="35"/>
  <c r="EY34" i="35"/>
  <c r="EY150" i="35" s="1"/>
  <c r="FQ37" i="35"/>
  <c r="HJ36" i="35"/>
  <c r="GF36" i="35"/>
  <c r="FB36" i="35"/>
  <c r="IK35" i="35"/>
  <c r="HG35" i="35"/>
  <c r="GC35" i="35"/>
  <c r="EY35" i="35"/>
  <c r="EY151" i="35" s="1"/>
  <c r="EA34" i="35"/>
  <c r="HY39" i="35"/>
  <c r="GU38" i="35"/>
  <c r="ED36" i="35"/>
  <c r="EA35" i="35"/>
  <c r="HY34" i="35"/>
  <c r="GU34" i="35"/>
  <c r="FQ34" i="35"/>
  <c r="CM40" i="35"/>
  <c r="CM39" i="35"/>
  <c r="GU37" i="35"/>
  <c r="IN36" i="35"/>
  <c r="HG36" i="35"/>
  <c r="GC36" i="35"/>
  <c r="EY36" i="35"/>
  <c r="EY152" i="35" s="1"/>
  <c r="HY35" i="35"/>
  <c r="GU35" i="35"/>
  <c r="FQ35" i="35"/>
  <c r="HV40" i="35"/>
  <c r="EA36" i="35"/>
  <c r="GC39" i="35"/>
  <c r="FQ38" i="35"/>
  <c r="HY37" i="35"/>
  <c r="IK36" i="35"/>
  <c r="GU36" i="35"/>
  <c r="FQ36" i="35"/>
  <c r="FB35" i="35"/>
  <c r="GR34" i="35"/>
  <c r="IK33" i="35"/>
  <c r="HG33" i="35"/>
  <c r="GC33" i="35"/>
  <c r="EY33" i="35"/>
  <c r="EY149" i="35" s="1"/>
  <c r="HV32" i="35"/>
  <c r="GR32" i="35"/>
  <c r="FN32" i="35"/>
  <c r="CM32" i="35"/>
  <c r="IK31" i="35"/>
  <c r="HG31" i="35"/>
  <c r="GC31" i="35"/>
  <c r="EY31" i="35"/>
  <c r="EY147" i="35" s="1"/>
  <c r="HV35" i="35"/>
  <c r="CM35" i="35"/>
  <c r="EA33" i="35"/>
  <c r="FN40" i="35"/>
  <c r="FN36" i="35"/>
  <c r="CM36" i="35"/>
  <c r="GR35" i="35"/>
  <c r="HJ34" i="35"/>
  <c r="FB34" i="35"/>
  <c r="HY33" i="35"/>
  <c r="GU33" i="35"/>
  <c r="FQ33" i="35"/>
  <c r="IN32" i="35"/>
  <c r="HJ32" i="35"/>
  <c r="GF32" i="35"/>
  <c r="FB32" i="35"/>
  <c r="HY31" i="35"/>
  <c r="GU31" i="35"/>
  <c r="FQ31" i="35"/>
  <c r="IN30" i="35"/>
  <c r="HJ30" i="35"/>
  <c r="GF30" i="35"/>
  <c r="FB30" i="35"/>
  <c r="ED29" i="35"/>
  <c r="FN35" i="35"/>
  <c r="ED34" i="35"/>
  <c r="ED32" i="35"/>
  <c r="ED30" i="35"/>
  <c r="IK29" i="35"/>
  <c r="HG29" i="35"/>
  <c r="GC29" i="35"/>
  <c r="EY29" i="35"/>
  <c r="EY145" i="35" s="1"/>
  <c r="HY38" i="35"/>
  <c r="GR36" i="35"/>
  <c r="HV34" i="35"/>
  <c r="FN34" i="35"/>
  <c r="HV33" i="35"/>
  <c r="GR33" i="35"/>
  <c r="FN33" i="35"/>
  <c r="CM33" i="35"/>
  <c r="IK32" i="35"/>
  <c r="HG32" i="35"/>
  <c r="GC32" i="35"/>
  <c r="EY32" i="35"/>
  <c r="EY148" i="35" s="1"/>
  <c r="HV31" i="35"/>
  <c r="GR31" i="35"/>
  <c r="FN31" i="35"/>
  <c r="CM31" i="35"/>
  <c r="HY36" i="35"/>
  <c r="IN35" i="35"/>
  <c r="CM34" i="35"/>
  <c r="EA32" i="35"/>
  <c r="FN39" i="35"/>
  <c r="HV36" i="35"/>
  <c r="HJ35" i="35"/>
  <c r="IN34" i="35"/>
  <c r="GF34" i="35"/>
  <c r="IN33" i="35"/>
  <c r="HJ33" i="35"/>
  <c r="GF33" i="35"/>
  <c r="FB33" i="35"/>
  <c r="HY32" i="35"/>
  <c r="GU32" i="35"/>
  <c r="FQ32" i="35"/>
  <c r="IN31" i="35"/>
  <c r="HJ31" i="35"/>
  <c r="GF31" i="35"/>
  <c r="FB31" i="35"/>
  <c r="HY30" i="35"/>
  <c r="GU30" i="35"/>
  <c r="FQ30" i="35"/>
  <c r="GF35" i="35"/>
  <c r="ED33" i="35"/>
  <c r="ED31" i="35"/>
  <c r="HV29" i="35"/>
  <c r="GR29" i="35"/>
  <c r="FN29" i="35"/>
  <c r="EA31" i="35"/>
  <c r="GR30" i="35"/>
  <c r="HY29" i="35"/>
  <c r="FQ29" i="35"/>
  <c r="HV28" i="35"/>
  <c r="GR28" i="35"/>
  <c r="FN28" i="35"/>
  <c r="CM28" i="35"/>
  <c r="IN27" i="35"/>
  <c r="HJ27" i="35"/>
  <c r="GF27" i="35"/>
  <c r="FB27" i="35"/>
  <c r="HG30" i="35"/>
  <c r="EY30" i="35"/>
  <c r="EY146" i="35" s="1"/>
  <c r="CM29" i="35"/>
  <c r="ED27" i="35"/>
  <c r="EA26" i="35"/>
  <c r="IN24" i="35"/>
  <c r="HJ24" i="35"/>
  <c r="GF24" i="35"/>
  <c r="FB24" i="35"/>
  <c r="IK23" i="35"/>
  <c r="HG23" i="35"/>
  <c r="GC23" i="35"/>
  <c r="EY23" i="35"/>
  <c r="EY139" i="35" s="1"/>
  <c r="EA30" i="35"/>
  <c r="IN29" i="35"/>
  <c r="GF29" i="35"/>
  <c r="IN28" i="35"/>
  <c r="HJ28" i="35"/>
  <c r="GF28" i="35"/>
  <c r="FB28" i="35"/>
  <c r="IK27" i="35"/>
  <c r="HG27" i="35"/>
  <c r="GC27" i="35"/>
  <c r="EY27" i="35"/>
  <c r="EY143" i="35" s="1"/>
  <c r="HY26" i="35"/>
  <c r="GU26" i="35"/>
  <c r="FQ26" i="35"/>
  <c r="HV25" i="35"/>
  <c r="GR25" i="35"/>
  <c r="FN25" i="35"/>
  <c r="CM25" i="35"/>
  <c r="ED24" i="35"/>
  <c r="HV30" i="35"/>
  <c r="FN30" i="35"/>
  <c r="CM30" i="35"/>
  <c r="ED28" i="35"/>
  <c r="EA27" i="35"/>
  <c r="IK24" i="35"/>
  <c r="HG24" i="35"/>
  <c r="GC24" i="35"/>
  <c r="EY24" i="35"/>
  <c r="EY140" i="35" s="1"/>
  <c r="HY23" i="35"/>
  <c r="GU23" i="35"/>
  <c r="FQ23" i="35"/>
  <c r="GU29" i="35"/>
  <c r="IK30" i="35"/>
  <c r="GC30" i="35"/>
  <c r="EA28" i="35"/>
  <c r="ED25" i="35"/>
  <c r="HY24" i="35"/>
  <c r="GU24" i="35"/>
  <c r="FQ24" i="35"/>
  <c r="HJ29" i="35"/>
  <c r="FB29" i="35"/>
  <c r="HY28" i="35"/>
  <c r="GU28" i="35"/>
  <c r="FQ28" i="35"/>
  <c r="HV27" i="35"/>
  <c r="GR27" i="35"/>
  <c r="FN27" i="35"/>
  <c r="CM27" i="35"/>
  <c r="IN26" i="35"/>
  <c r="HJ26" i="35"/>
  <c r="GF26" i="35"/>
  <c r="FB26" i="35"/>
  <c r="IK25" i="35"/>
  <c r="HG25" i="35"/>
  <c r="GC25" i="35"/>
  <c r="EY25" i="35"/>
  <c r="EY141" i="35" s="1"/>
  <c r="EA29" i="35"/>
  <c r="HG28" i="35"/>
  <c r="IK28" i="35"/>
  <c r="GR26" i="35"/>
  <c r="FB25" i="35"/>
  <c r="HV24" i="35"/>
  <c r="IK22" i="35"/>
  <c r="HG22" i="35"/>
  <c r="GC22" i="35"/>
  <c r="EY22" i="35"/>
  <c r="EY138" i="35" s="1"/>
  <c r="FQ27" i="35"/>
  <c r="FN26" i="35"/>
  <c r="CM26" i="35"/>
  <c r="GR24" i="35"/>
  <c r="ED23" i="35"/>
  <c r="EA22" i="35"/>
  <c r="HV21" i="35"/>
  <c r="GR21" i="35"/>
  <c r="FN21" i="35"/>
  <c r="CM21" i="35"/>
  <c r="IN20" i="35"/>
  <c r="HJ20" i="35"/>
  <c r="GF20" i="35"/>
  <c r="FB20" i="35"/>
  <c r="IK19" i="35"/>
  <c r="HG19" i="35"/>
  <c r="EY28" i="35"/>
  <c r="EY144" i="35" s="1"/>
  <c r="HY25" i="35"/>
  <c r="FN24" i="35"/>
  <c r="CM24" i="35"/>
  <c r="GR23" i="35"/>
  <c r="HY22" i="35"/>
  <c r="GU22" i="35"/>
  <c r="FQ22" i="35"/>
  <c r="ED20" i="35"/>
  <c r="EA19" i="35"/>
  <c r="HV18" i="35"/>
  <c r="GU27" i="35"/>
  <c r="IK26" i="35"/>
  <c r="ED26" i="35"/>
  <c r="GU25" i="35"/>
  <c r="HJ23" i="35"/>
  <c r="EA23" i="35"/>
  <c r="IN21" i="35"/>
  <c r="HJ21" i="35"/>
  <c r="GF21" i="35"/>
  <c r="FB21" i="35"/>
  <c r="IK20" i="35"/>
  <c r="HG20" i="35"/>
  <c r="GC20" i="35"/>
  <c r="EY20" i="35"/>
  <c r="EY136" i="35" s="1"/>
  <c r="HY19" i="35"/>
  <c r="GU19" i="35"/>
  <c r="FQ19" i="35"/>
  <c r="GC28" i="35"/>
  <c r="HG26" i="35"/>
  <c r="FQ25" i="35"/>
  <c r="FB23" i="35"/>
  <c r="HV22" i="35"/>
  <c r="GR22" i="35"/>
  <c r="FN22" i="35"/>
  <c r="CM22" i="35"/>
  <c r="ED21" i="35"/>
  <c r="EA20" i="35"/>
  <c r="HY27" i="35"/>
  <c r="GC26" i="35"/>
  <c r="IN25" i="35"/>
  <c r="EA24" i="35"/>
  <c r="IK21" i="35"/>
  <c r="HG21" i="35"/>
  <c r="GC21" i="35"/>
  <c r="EY21" i="35"/>
  <c r="EY137" i="35" s="1"/>
  <c r="HV26" i="35"/>
  <c r="GF23" i="35"/>
  <c r="HJ22" i="35"/>
  <c r="ED19" i="35"/>
  <c r="GF18" i="35"/>
  <c r="FB18" i="35"/>
  <c r="FN23" i="35"/>
  <c r="ED22" i="35"/>
  <c r="GU21" i="35"/>
  <c r="IN23" i="35"/>
  <c r="IN22" i="35"/>
  <c r="HY20" i="35"/>
  <c r="HJ19" i="35"/>
  <c r="GC18" i="35"/>
  <c r="EY18" i="35"/>
  <c r="EY134" i="35" s="1"/>
  <c r="HY17" i="35"/>
  <c r="GU17" i="35"/>
  <c r="FQ17" i="35"/>
  <c r="HV16" i="35"/>
  <c r="GR16" i="35"/>
  <c r="FN16" i="35"/>
  <c r="CM16" i="35"/>
  <c r="ED15" i="35"/>
  <c r="EA25" i="35"/>
  <c r="HV23" i="35"/>
  <c r="HY21" i="35"/>
  <c r="GU20" i="35"/>
  <c r="FB19" i="35"/>
  <c r="CM19" i="35"/>
  <c r="HG18" i="35"/>
  <c r="EA18" i="35"/>
  <c r="IK15" i="35"/>
  <c r="HG15" i="35"/>
  <c r="GC15" i="35"/>
  <c r="EY15" i="35"/>
  <c r="EY131" i="35" s="1"/>
  <c r="HY14" i="35"/>
  <c r="GU14" i="35"/>
  <c r="FQ14" i="35"/>
  <c r="HJ25" i="35"/>
  <c r="FB22" i="35"/>
  <c r="HV20" i="35"/>
  <c r="FQ20" i="35"/>
  <c r="GF19" i="35"/>
  <c r="FN19" i="35"/>
  <c r="EY26" i="35"/>
  <c r="EY142" i="35" s="1"/>
  <c r="GR20" i="35"/>
  <c r="HV19" i="35"/>
  <c r="EY19" i="35"/>
  <c r="EY135" i="35" s="1"/>
  <c r="GF22" i="35"/>
  <c r="EA21" i="35"/>
  <c r="FN20" i="35"/>
  <c r="CM20" i="35"/>
  <c r="GR19" i="35"/>
  <c r="GC19" i="35"/>
  <c r="GR18" i="35"/>
  <c r="FN18" i="35"/>
  <c r="CM18" i="35"/>
  <c r="IN17" i="35"/>
  <c r="HJ17" i="35"/>
  <c r="GF17" i="35"/>
  <c r="FB17" i="35"/>
  <c r="IK16" i="35"/>
  <c r="HG16" i="35"/>
  <c r="GC16" i="35"/>
  <c r="EY16" i="35"/>
  <c r="EY132" i="35" s="1"/>
  <c r="GF25" i="35"/>
  <c r="CM23" i="35"/>
  <c r="FQ21" i="35"/>
  <c r="IN18" i="35"/>
  <c r="ED17" i="35"/>
  <c r="EA16" i="35"/>
  <c r="HV15" i="35"/>
  <c r="GR15" i="35"/>
  <c r="FN15" i="35"/>
  <c r="CM15" i="35"/>
  <c r="IN14" i="35"/>
  <c r="HJ14" i="35"/>
  <c r="GF14" i="35"/>
  <c r="FB14" i="35"/>
  <c r="HY18" i="35"/>
  <c r="HG17" i="35"/>
  <c r="EY17" i="35"/>
  <c r="EY133" i="35" s="1"/>
  <c r="IN15" i="35"/>
  <c r="GF15" i="35"/>
  <c r="EY14" i="35"/>
  <c r="EY130" i="35" s="1"/>
  <c r="EA17" i="35"/>
  <c r="GU16" i="35"/>
  <c r="HJ18" i="35"/>
  <c r="HV17" i="35"/>
  <c r="FN17" i="35"/>
  <c r="CM17" i="35"/>
  <c r="IN19" i="35"/>
  <c r="HJ16" i="35"/>
  <c r="FB16" i="35"/>
  <c r="EA13" i="35"/>
  <c r="HV11" i="35"/>
  <c r="GR11" i="35"/>
  <c r="FN11" i="35"/>
  <c r="CM11" i="35"/>
  <c r="HH10" i="35"/>
  <c r="FP10" i="35"/>
  <c r="JI10" i="35" s="1"/>
  <c r="JJ10" i="35" s="1"/>
  <c r="HV8" i="35"/>
  <c r="FN8" i="35"/>
  <c r="FP8" i="35" s="1"/>
  <c r="FQ18" i="35"/>
  <c r="IK17" i="35"/>
  <c r="GC17" i="35"/>
  <c r="ED16" i="35"/>
  <c r="HJ15" i="35"/>
  <c r="FB15" i="35"/>
  <c r="ED14" i="35"/>
  <c r="GU18" i="35"/>
  <c r="HY16" i="35"/>
  <c r="FQ16" i="35"/>
  <c r="EA15" i="35"/>
  <c r="HG14" i="35"/>
  <c r="GR14" i="35"/>
  <c r="CM14" i="35"/>
  <c r="IK18" i="35"/>
  <c r="GR17" i="35"/>
  <c r="HY15" i="35"/>
  <c r="FQ15" i="35"/>
  <c r="IK14" i="35"/>
  <c r="HV14" i="35"/>
  <c r="GC14" i="35"/>
  <c r="EA14" i="35"/>
  <c r="HV13" i="35"/>
  <c r="GR13" i="35"/>
  <c r="FN13" i="35"/>
  <c r="CM13" i="35"/>
  <c r="IN12" i="35"/>
  <c r="HJ12" i="35"/>
  <c r="GF12" i="35"/>
  <c r="FB12" i="35"/>
  <c r="ED11" i="35"/>
  <c r="ED18" i="35"/>
  <c r="IN16" i="35"/>
  <c r="GF16" i="35"/>
  <c r="FN14" i="35"/>
  <c r="ED12" i="35"/>
  <c r="IK11" i="35"/>
  <c r="HG11" i="35"/>
  <c r="GC11" i="35"/>
  <c r="EY11" i="35"/>
  <c r="EY127" i="35" s="1"/>
  <c r="HX10" i="35"/>
  <c r="GR10" i="35"/>
  <c r="EZ10" i="35"/>
  <c r="GR8" i="35"/>
  <c r="GT8" i="35" s="1"/>
  <c r="EY8" i="35"/>
  <c r="EY124" i="35" s="1"/>
  <c r="FN10" i="35"/>
  <c r="HI10" i="35"/>
  <c r="BR11" i="35"/>
  <c r="EA11" i="35"/>
  <c r="IN11" i="35"/>
  <c r="EY12" i="35"/>
  <c r="EY128" i="35" s="1"/>
  <c r="FQ12" i="35"/>
  <c r="HY13" i="35"/>
  <c r="H3" i="35"/>
  <c r="IK8" i="35"/>
  <c r="FO10" i="35"/>
  <c r="HV10" i="35"/>
  <c r="HJ11" i="35"/>
  <c r="HY11" i="35"/>
  <c r="HG13" i="35"/>
  <c r="T4" i="35"/>
  <c r="H25" i="35" a="1"/>
  <c r="H25" i="35" s="1"/>
  <c r="J25" i="35" a="1"/>
  <c r="J25" i="35" s="1"/>
  <c r="R4" i="35" s="1"/>
  <c r="I22" i="35" a="1"/>
  <c r="I22" i="35" s="1"/>
  <c r="I19" i="35" a="1"/>
  <c r="I19" i="35" s="1"/>
  <c r="H22" i="35" a="1"/>
  <c r="H22" i="35" s="1"/>
  <c r="I25" i="35" a="1"/>
  <c r="I25" i="35" s="1"/>
  <c r="J22" i="35" a="1"/>
  <c r="J22" i="35" s="1"/>
  <c r="Q4" i="35" s="1"/>
  <c r="H19" i="35" a="1"/>
  <c r="H19" i="35" s="1"/>
  <c r="H16" i="35" a="1"/>
  <c r="H16" i="35" s="1"/>
  <c r="J19" i="35" a="1"/>
  <c r="J19" i="35" s="1"/>
  <c r="P4" i="35" s="1"/>
  <c r="HG9" i="35" l="1"/>
  <c r="HI9" i="35" s="1"/>
  <c r="GC9" i="35"/>
  <c r="GE9" i="35" s="1"/>
  <c r="FL123" i="35"/>
  <c r="EZ155" i="35"/>
  <c r="EZ147" i="35"/>
  <c r="EZ150" i="35"/>
  <c r="EZ142" i="35"/>
  <c r="EZ134" i="35"/>
  <c r="EZ126" i="35"/>
  <c r="FM126" i="35" s="1"/>
  <c r="EZ153" i="35"/>
  <c r="EZ145" i="35"/>
  <c r="EZ137" i="35"/>
  <c r="EZ129" i="35"/>
  <c r="EZ156" i="35"/>
  <c r="EZ148" i="35"/>
  <c r="EZ140" i="35"/>
  <c r="EZ132" i="35"/>
  <c r="EZ124" i="35"/>
  <c r="EZ151" i="35"/>
  <c r="EZ143" i="35"/>
  <c r="EZ135" i="35"/>
  <c r="EZ127" i="35"/>
  <c r="EZ149" i="35"/>
  <c r="EZ141" i="35"/>
  <c r="EZ133" i="35"/>
  <c r="EZ125" i="35"/>
  <c r="EZ128" i="35"/>
  <c r="EZ146" i="35"/>
  <c r="EZ136" i="35"/>
  <c r="EZ123" i="35"/>
  <c r="EZ144" i="35"/>
  <c r="EZ131" i="35"/>
  <c r="EZ152" i="35"/>
  <c r="EZ130" i="35"/>
  <c r="EZ154" i="35"/>
  <c r="EZ138" i="35"/>
  <c r="EZ139" i="35"/>
  <c r="FA1" i="35"/>
  <c r="IM8" i="35"/>
  <c r="IK9" i="35"/>
  <c r="IM9" i="35" s="1"/>
  <c r="AS4" i="35"/>
  <c r="AS11" i="35" s="1"/>
  <c r="AS12" i="35" s="1"/>
  <c r="AV4" i="35"/>
  <c r="AQ4" i="35"/>
  <c r="JN40" i="35"/>
  <c r="JM10" i="35"/>
  <c r="JN10" i="35" s="1"/>
  <c r="JC10" i="35"/>
  <c r="JB11" i="35"/>
  <c r="AR4" i="35"/>
  <c r="AU4" i="35"/>
  <c r="JP40" i="35"/>
  <c r="JO10" i="35"/>
  <c r="JP10" i="35" s="1"/>
  <c r="GR9" i="35"/>
  <c r="GT9" i="35" s="1"/>
  <c r="L6" i="35"/>
  <c r="L8" i="35"/>
  <c r="L9" i="35"/>
  <c r="L4" i="35"/>
  <c r="JR40" i="35"/>
  <c r="JQ10" i="35"/>
  <c r="JR10" i="35" s="1"/>
  <c r="AW4" i="35"/>
  <c r="JT40" i="35"/>
  <c r="IZ10" i="35"/>
  <c r="JS10" i="35"/>
  <c r="JT10" i="35" s="1"/>
  <c r="JL40" i="35"/>
  <c r="JK10" i="35"/>
  <c r="JL10" i="35" s="1"/>
  <c r="FA8" i="35"/>
  <c r="EY9" i="35"/>
  <c r="HV9" i="35"/>
  <c r="HX9" i="35" s="1"/>
  <c r="HX8" i="35"/>
  <c r="FN9" i="35"/>
  <c r="FP9" i="35" s="1"/>
  <c r="JA10" i="35" l="1"/>
  <c r="FA9" i="35"/>
  <c r="FA125" i="35" s="1"/>
  <c r="FM125" i="35" s="1"/>
  <c r="EY125" i="35"/>
  <c r="FL125" i="35" s="1"/>
  <c r="FM127" i="35"/>
  <c r="JD10" i="35"/>
  <c r="JE10" i="35" s="1"/>
  <c r="JE42" i="35" s="1"/>
  <c r="FL124" i="35"/>
  <c r="AR44" i="35"/>
  <c r="AR11" i="35"/>
  <c r="AS44" i="35"/>
  <c r="AS13" i="35"/>
  <c r="AS14" i="35" s="1"/>
  <c r="AS15" i="35" s="1"/>
  <c r="AS16" i="35" s="1"/>
  <c r="AS17" i="35" s="1"/>
  <c r="AS18" i="35" s="1"/>
  <c r="AS19" i="35" s="1"/>
  <c r="AS20" i="35" s="1"/>
  <c r="FA124" i="35"/>
  <c r="FM124" i="35" s="1"/>
  <c r="FA123" i="35"/>
  <c r="FM123" i="35" s="1"/>
  <c r="FA126" i="35"/>
  <c r="D49" i="34" s="1"/>
  <c r="FB1" i="35"/>
  <c r="AQ44" i="35"/>
  <c r="AQ13" i="35"/>
  <c r="AQ14" i="35" s="1"/>
  <c r="AQ15" i="35" s="1"/>
  <c r="AQ16" i="35" s="1"/>
  <c r="AQ17" i="35" s="1"/>
  <c r="AQ18" i="35" s="1"/>
  <c r="AQ19" i="35" s="1"/>
  <c r="AQ20" i="35" s="1"/>
  <c r="AW44" i="35"/>
  <c r="AW11" i="35"/>
  <c r="AW12" i="35" s="1"/>
  <c r="AW13" i="35" s="1"/>
  <c r="AW14" i="35" s="1"/>
  <c r="AW15" i="35" s="1"/>
  <c r="AW16" i="35" s="1"/>
  <c r="AW17" i="35" s="1"/>
  <c r="AW18" i="35" s="1"/>
  <c r="AW19" i="35" s="1"/>
  <c r="AW20" i="35" s="1"/>
  <c r="L10" i="35"/>
  <c r="AU44" i="35"/>
  <c r="AU11" i="35"/>
  <c r="AU12" i="35" s="1"/>
  <c r="AU13" i="35" s="1"/>
  <c r="AU14" i="35" s="1"/>
  <c r="AU15" i="35" s="1"/>
  <c r="AU16" i="35" s="1"/>
  <c r="AU17" i="35" s="1"/>
  <c r="AU18" i="35" s="1"/>
  <c r="AU19" i="35" s="1"/>
  <c r="AU20" i="35" s="1"/>
  <c r="JB12" i="35"/>
  <c r="AV44" i="35"/>
  <c r="AV11" i="35"/>
  <c r="AV12" i="35" s="1"/>
  <c r="AV13" i="35" s="1"/>
  <c r="AV14" i="35" s="1"/>
  <c r="AV15" i="35" s="1"/>
  <c r="AV16" i="35" s="1"/>
  <c r="AV17" i="35" s="1"/>
  <c r="AV18" i="35" s="1"/>
  <c r="AV19" i="35" s="1"/>
  <c r="AV20" i="35" s="1"/>
  <c r="JF10" i="35" l="1"/>
  <c r="FM128" i="35"/>
  <c r="JD11" i="35"/>
  <c r="JE11" i="35" s="1"/>
  <c r="JF11" i="35" s="1"/>
  <c r="JC11" i="35"/>
  <c r="U6" i="35"/>
  <c r="U8" i="35"/>
  <c r="AV21" i="35"/>
  <c r="AV22" i="35" s="1"/>
  <c r="AV23" i="35" s="1"/>
  <c r="AV24" i="35" s="1"/>
  <c r="AV25" i="35" s="1"/>
  <c r="AV26" i="35" s="1"/>
  <c r="AV27" i="35" s="1"/>
  <c r="AV28" i="35" s="1"/>
  <c r="AV29" i="35" s="1"/>
  <c r="AV30" i="35" s="1"/>
  <c r="AV31" i="35" s="1"/>
  <c r="AV32" i="35" s="1"/>
  <c r="AV33" i="35" s="1"/>
  <c r="AV34" i="35" s="1"/>
  <c r="AV35" i="35" s="1"/>
  <c r="AV36" i="35" s="1"/>
  <c r="AV37" i="35" s="1"/>
  <c r="AV38" i="35" s="1"/>
  <c r="AV39" i="35" s="1"/>
  <c r="AV40" i="35" s="1"/>
  <c r="U9" i="35" s="1"/>
  <c r="U10" i="35" s="1"/>
  <c r="V6" i="35"/>
  <c r="V8" i="35"/>
  <c r="AW21" i="35"/>
  <c r="AW22" i="35" s="1"/>
  <c r="AW23" i="35" s="1"/>
  <c r="AW24" i="35" s="1"/>
  <c r="AW25" i="35" s="1"/>
  <c r="AW26" i="35" s="1"/>
  <c r="AW27" i="35" s="1"/>
  <c r="AW28" i="35" s="1"/>
  <c r="AW29" i="35" s="1"/>
  <c r="AW30" i="35" s="1"/>
  <c r="AW31" i="35" s="1"/>
  <c r="AW32" i="35" s="1"/>
  <c r="AW33" i="35" s="1"/>
  <c r="AW34" i="35" s="1"/>
  <c r="AW35" i="35" s="1"/>
  <c r="AW36" i="35" s="1"/>
  <c r="AW37" i="35" s="1"/>
  <c r="AW38" i="35" s="1"/>
  <c r="AW39" i="35" s="1"/>
  <c r="AW40" i="35" s="1"/>
  <c r="V9" i="35" s="1"/>
  <c r="V10" i="35" s="1"/>
  <c r="T8" i="35"/>
  <c r="T6" i="35"/>
  <c r="AU21" i="35"/>
  <c r="AU22" i="35" s="1"/>
  <c r="AU23" i="35" s="1"/>
  <c r="AU24" i="35" s="1"/>
  <c r="AU25" i="35" s="1"/>
  <c r="AU26" i="35" s="1"/>
  <c r="AU27" i="35" s="1"/>
  <c r="AU28" i="35" s="1"/>
  <c r="AU29" i="35" s="1"/>
  <c r="AU30" i="35" s="1"/>
  <c r="AU31" i="35" s="1"/>
  <c r="AU32" i="35" s="1"/>
  <c r="AU33" i="35" s="1"/>
  <c r="AU34" i="35" s="1"/>
  <c r="AU35" i="35" s="1"/>
  <c r="AU36" i="35" s="1"/>
  <c r="AU37" i="35" s="1"/>
  <c r="AU38" i="35" s="1"/>
  <c r="AU39" i="35" s="1"/>
  <c r="AU40" i="35" s="1"/>
  <c r="T9" i="35" s="1"/>
  <c r="T10" i="35" s="1"/>
  <c r="P8" i="35"/>
  <c r="P6" i="35"/>
  <c r="AQ21" i="35"/>
  <c r="AQ22" i="35" s="1"/>
  <c r="AQ23" i="35" s="1"/>
  <c r="AQ24" i="35" s="1"/>
  <c r="AQ25" i="35" s="1"/>
  <c r="AQ26" i="35" s="1"/>
  <c r="AQ27" i="35" s="1"/>
  <c r="AQ28" i="35" s="1"/>
  <c r="AQ29" i="35" s="1"/>
  <c r="AQ30" i="35" s="1"/>
  <c r="AQ31" i="35" s="1"/>
  <c r="AQ32" i="35" s="1"/>
  <c r="AQ33" i="35" s="1"/>
  <c r="AQ34" i="35" s="1"/>
  <c r="AQ35" i="35" s="1"/>
  <c r="AQ36" i="35" s="1"/>
  <c r="AQ37" i="35" s="1"/>
  <c r="AQ38" i="35" s="1"/>
  <c r="AQ39" i="35" s="1"/>
  <c r="AQ40" i="35" s="1"/>
  <c r="P9" i="35" s="1"/>
  <c r="P10" i="35" s="1"/>
  <c r="R6" i="35"/>
  <c r="R8" i="35"/>
  <c r="AS21" i="35"/>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R9" i="35" s="1"/>
  <c r="R10" i="35" s="1"/>
  <c r="AW43" i="35"/>
  <c r="FB153" i="35"/>
  <c r="FB156" i="35"/>
  <c r="FB148" i="35"/>
  <c r="FB140" i="35"/>
  <c r="FB132" i="35"/>
  <c r="FB124" i="35"/>
  <c r="FB151" i="35"/>
  <c r="FB143" i="35"/>
  <c r="FB135" i="35"/>
  <c r="FB127" i="35"/>
  <c r="FB154" i="35"/>
  <c r="FB146" i="35"/>
  <c r="FB138" i="35"/>
  <c r="FB130" i="35"/>
  <c r="FB149" i="35"/>
  <c r="FB141" i="35"/>
  <c r="FB133" i="35"/>
  <c r="FB125" i="35"/>
  <c r="FB155" i="35"/>
  <c r="FB147" i="35"/>
  <c r="FB139" i="35"/>
  <c r="FB131" i="35"/>
  <c r="FB123" i="35"/>
  <c r="FB136" i="35"/>
  <c r="FB144" i="35"/>
  <c r="FB126" i="35"/>
  <c r="FB134" i="35"/>
  <c r="FB150" i="35"/>
  <c r="FB137" i="35"/>
  <c r="FB152" i="35"/>
  <c r="FB145" i="35"/>
  <c r="FB128" i="35"/>
  <c r="FB142" i="35"/>
  <c r="FB129" i="35"/>
  <c r="FC1" i="35"/>
  <c r="JB13" i="35"/>
  <c r="JC12" i="35"/>
  <c r="AU43" i="35"/>
  <c r="AV43" i="35"/>
  <c r="AQ43" i="35"/>
  <c r="AS43" i="35"/>
  <c r="AR12" i="35"/>
  <c r="AR13" i="35" s="1"/>
  <c r="AR14" i="35" s="1"/>
  <c r="AR15" i="35" s="1"/>
  <c r="AR16" i="35" s="1"/>
  <c r="AR17" i="35" s="1"/>
  <c r="AR18" i="35" s="1"/>
  <c r="AR19" i="35" s="1"/>
  <c r="AR20" i="35" s="1"/>
  <c r="AS42" i="35" l="1"/>
  <c r="AV42" i="35"/>
  <c r="AU42" i="35"/>
  <c r="AQ42" i="35"/>
  <c r="IX11" i="35"/>
  <c r="FM129" i="35"/>
  <c r="JD12" i="35"/>
  <c r="JE12" i="35" s="1"/>
  <c r="IX12" i="35" s="1"/>
  <c r="JB14" i="35"/>
  <c r="JC13" i="35"/>
  <c r="AR43" i="35"/>
  <c r="AW42" i="35"/>
  <c r="Q8" i="35"/>
  <c r="Q6" i="35"/>
  <c r="AR21" i="35"/>
  <c r="FC125" i="35"/>
  <c r="FC122" i="35"/>
  <c r="FC126" i="35"/>
  <c r="FC124" i="35"/>
  <c r="FC123" i="35"/>
  <c r="FD1" i="35"/>
  <c r="JF12" i="35" l="1"/>
  <c r="FM130" i="35"/>
  <c r="JD13" i="35"/>
  <c r="JE13" i="35" s="1"/>
  <c r="AR22" i="35"/>
  <c r="FD125" i="35"/>
  <c r="FD122" i="35"/>
  <c r="FD123" i="35"/>
  <c r="FD126" i="35"/>
  <c r="FD124" i="35"/>
  <c r="FE1" i="35"/>
  <c r="JB15" i="35"/>
  <c r="JC14" i="35"/>
  <c r="IX13" i="35" l="1"/>
  <c r="JF13" i="35"/>
  <c r="FM131" i="35"/>
  <c r="JD14" i="35"/>
  <c r="JE14" i="35" s="1"/>
  <c r="JC15" i="35"/>
  <c r="JB16" i="35"/>
  <c r="FE125" i="35"/>
  <c r="FE123" i="35"/>
  <c r="FE126" i="35"/>
  <c r="FE124" i="35"/>
  <c r="FF1" i="35"/>
  <c r="AR23" i="35"/>
  <c r="JF14" i="35" l="1"/>
  <c r="IX14" i="35"/>
  <c r="FM132" i="35"/>
  <c r="JD15" i="35"/>
  <c r="JE15" i="35" s="1"/>
  <c r="FF123" i="35"/>
  <c r="FF126" i="35"/>
  <c r="FF124" i="35"/>
  <c r="FF125" i="35"/>
  <c r="FG1" i="35"/>
  <c r="AR24" i="35"/>
  <c r="JC16" i="35"/>
  <c r="JB17" i="35"/>
  <c r="IX15" i="35" l="1"/>
  <c r="JF15" i="35"/>
  <c r="FM133" i="35"/>
  <c r="JD16" i="35"/>
  <c r="JE16" i="35" s="1"/>
  <c r="AR25" i="35"/>
  <c r="FG123" i="35"/>
  <c r="FG126" i="35"/>
  <c r="FG124" i="35"/>
  <c r="FG125" i="35"/>
  <c r="FH1" i="35"/>
  <c r="JB18" i="35"/>
  <c r="JC17" i="35"/>
  <c r="AR26" i="35" l="1"/>
  <c r="AR27" i="35" s="1"/>
  <c r="AR28" i="35" s="1"/>
  <c r="AR29" i="35" s="1"/>
  <c r="AR30" i="35" s="1"/>
  <c r="AR31" i="35" s="1"/>
  <c r="AR32" i="35" s="1"/>
  <c r="AR33" i="35" s="1"/>
  <c r="AR34" i="35" s="1"/>
  <c r="AR35" i="35" s="1"/>
  <c r="AR36" i="35" s="1"/>
  <c r="AR37" i="35" s="1"/>
  <c r="AR38" i="35" s="1"/>
  <c r="AR39" i="35" s="1"/>
  <c r="AR40" i="35" s="1"/>
  <c r="Q9" i="35" s="1"/>
  <c r="Q10" i="35" s="1"/>
  <c r="IX16" i="35"/>
  <c r="JF16" i="35"/>
  <c r="FM134" i="35"/>
  <c r="JD17" i="35"/>
  <c r="JE17" i="35" s="1"/>
  <c r="JB19" i="35"/>
  <c r="JC18" i="35"/>
  <c r="FH126" i="35"/>
  <c r="FH124" i="35"/>
  <c r="FH125" i="35"/>
  <c r="FH123" i="35"/>
  <c r="FI1" i="35"/>
  <c r="AR42" i="35" l="1"/>
  <c r="JF17" i="35"/>
  <c r="IX17" i="35"/>
  <c r="FM135" i="35"/>
  <c r="JD18" i="35"/>
  <c r="JE18" i="35" s="1"/>
  <c r="FI124" i="35"/>
  <c r="FI123" i="35"/>
  <c r="FI126" i="35"/>
  <c r="FI125" i="35"/>
  <c r="FJ1" i="35"/>
  <c r="JC19" i="35"/>
  <c r="JB20" i="35"/>
  <c r="IX18" i="35" l="1"/>
  <c r="JF18" i="35"/>
  <c r="FM136" i="35"/>
  <c r="JD19" i="35"/>
  <c r="JE19" i="35" s="1"/>
  <c r="FJ124" i="35"/>
  <c r="FJ125" i="35"/>
  <c r="FJ123" i="35"/>
  <c r="FJ126" i="35"/>
  <c r="FK1" i="35"/>
  <c r="JC20" i="35"/>
  <c r="JB21" i="35"/>
  <c r="IX19" i="35" l="1"/>
  <c r="JF19" i="35"/>
  <c r="FM137" i="35"/>
  <c r="JD20" i="35"/>
  <c r="JE20" i="35" s="1"/>
  <c r="JB22" i="35"/>
  <c r="JC21" i="35"/>
  <c r="FK125" i="35"/>
  <c r="FK126" i="35"/>
  <c r="FK124" i="35"/>
  <c r="FK123" i="35"/>
  <c r="IX20" i="35" l="1"/>
  <c r="JF20" i="35"/>
  <c r="FM138" i="35"/>
  <c r="JD21" i="35"/>
  <c r="JE21" i="35" s="1"/>
  <c r="JB23" i="35"/>
  <c r="JC22" i="35"/>
  <c r="JF21" i="35" l="1"/>
  <c r="IX21" i="35"/>
  <c r="FM139" i="35"/>
  <c r="JD22" i="35"/>
  <c r="JE22" i="35" s="1"/>
  <c r="JC23" i="35"/>
  <c r="JB24" i="35"/>
  <c r="JF22" i="35" l="1"/>
  <c r="IX22" i="35"/>
  <c r="FM140" i="35"/>
  <c r="JD23" i="35"/>
  <c r="JE23" i="35" s="1"/>
  <c r="JC24" i="35"/>
  <c r="JB25" i="35"/>
  <c r="IX23" i="35" l="1"/>
  <c r="JF23" i="35"/>
  <c r="FM141" i="35"/>
  <c r="JD24" i="35"/>
  <c r="JE24" i="35" s="1"/>
  <c r="JB26" i="35"/>
  <c r="JC25" i="35"/>
  <c r="JF24" i="35" l="1"/>
  <c r="IX24" i="35"/>
  <c r="FM142" i="35"/>
  <c r="JD25" i="35"/>
  <c r="JE25" i="35" s="1"/>
  <c r="JB27" i="35"/>
  <c r="JC26" i="35"/>
  <c r="IX25" i="35" l="1"/>
  <c r="JF25" i="35"/>
  <c r="FM143" i="35"/>
  <c r="JD26" i="35"/>
  <c r="JE26" i="35" s="1"/>
  <c r="JB28" i="35"/>
  <c r="JC27" i="35"/>
  <c r="IX26" i="35" l="1"/>
  <c r="JF26" i="35"/>
  <c r="FM144" i="35"/>
  <c r="JD27" i="35"/>
  <c r="JE27" i="35" s="1"/>
  <c r="IX27" i="35" s="1"/>
  <c r="JB29" i="35"/>
  <c r="JC28" i="35"/>
  <c r="JF27" i="35" l="1"/>
  <c r="FM145" i="35"/>
  <c r="JD28" i="35"/>
  <c r="JE28" i="35" s="1"/>
  <c r="JC29" i="35"/>
  <c r="JB30" i="35"/>
  <c r="IX28" i="35" l="1"/>
  <c r="JF28" i="35"/>
  <c r="FM146" i="35"/>
  <c r="JD29" i="35"/>
  <c r="JE29" i="35" s="1"/>
  <c r="JB31" i="35"/>
  <c r="JC30" i="35"/>
  <c r="JF29" i="35" l="1"/>
  <c r="IX29" i="35"/>
  <c r="FM147" i="35"/>
  <c r="JD30" i="35"/>
  <c r="JE30" i="35" s="1"/>
  <c r="JC31" i="35"/>
  <c r="JB32" i="35"/>
  <c r="IX30" i="35" l="1"/>
  <c r="JF30" i="35"/>
  <c r="FM148" i="35"/>
  <c r="JD31" i="35"/>
  <c r="JE31" i="35" s="1"/>
  <c r="JB33" i="35"/>
  <c r="JC32" i="35"/>
  <c r="JF31" i="35" l="1"/>
  <c r="IX31" i="35"/>
  <c r="FM149" i="35"/>
  <c r="JD32" i="35"/>
  <c r="JE32" i="35" s="1"/>
  <c r="JB34" i="35"/>
  <c r="JC33" i="35"/>
  <c r="IX32" i="35" l="1"/>
  <c r="JF32" i="35"/>
  <c r="FM150" i="35"/>
  <c r="JD33" i="35"/>
  <c r="JE33" i="35" s="1"/>
  <c r="JC34" i="35"/>
  <c r="JB35" i="35"/>
  <c r="JF33" i="35" l="1"/>
  <c r="IX33" i="35"/>
  <c r="FM151" i="35"/>
  <c r="JD34" i="35"/>
  <c r="JE34" i="35" s="1"/>
  <c r="JB36" i="35"/>
  <c r="JC35" i="35"/>
  <c r="E43" i="29"/>
  <c r="E42" i="29"/>
  <c r="E41" i="29"/>
  <c r="C43" i="29"/>
  <c r="C42" i="29"/>
  <c r="C41" i="29"/>
  <c r="D20" i="29"/>
  <c r="D19" i="29"/>
  <c r="C39" i="29"/>
  <c r="C38" i="29"/>
  <c r="C37" i="29"/>
  <c r="C36" i="29"/>
  <c r="C35" i="29"/>
  <c r="C34" i="29"/>
  <c r="C33" i="29"/>
  <c r="C32" i="29"/>
  <c r="JF34" i="35" l="1"/>
  <c r="IX34" i="35"/>
  <c r="FM152" i="35"/>
  <c r="JD35" i="35"/>
  <c r="JE35" i="35" s="1"/>
  <c r="JB37" i="35"/>
  <c r="JC36" i="35"/>
  <c r="IX35" i="35" l="1"/>
  <c r="JF35" i="35"/>
  <c r="FM153" i="35"/>
  <c r="JD36" i="35"/>
  <c r="JE36" i="35" s="1"/>
  <c r="JB38" i="35"/>
  <c r="JC37" i="35"/>
  <c r="JF36" i="35" l="1"/>
  <c r="IX36" i="35"/>
  <c r="FM154" i="35"/>
  <c r="JD37" i="35"/>
  <c r="JE37" i="35" s="1"/>
  <c r="IX37" i="35" s="1"/>
  <c r="JB39" i="35"/>
  <c r="JC38" i="35"/>
  <c r="JE7" i="28"/>
  <c r="JF37" i="35" l="1"/>
  <c r="FM155" i="35"/>
  <c r="JD38" i="35"/>
  <c r="JE38" i="35" s="1"/>
  <c r="IX38" i="35" s="1"/>
  <c r="JB40" i="35"/>
  <c r="JC39" i="35"/>
  <c r="EZ1" i="28"/>
  <c r="A50" i="28"/>
  <c r="BW44" i="28"/>
  <c r="BS44" i="28"/>
  <c r="BO44" i="28"/>
  <c r="BK44" i="28"/>
  <c r="BG44" i="28"/>
  <c r="BC44" i="28"/>
  <c r="A44" i="28"/>
  <c r="IZ40" i="28"/>
  <c r="A40" i="28"/>
  <c r="IZ39" i="28"/>
  <c r="IZ38" i="28"/>
  <c r="A38" i="28"/>
  <c r="IZ37" i="28"/>
  <c r="IZ36" i="28"/>
  <c r="IZ35" i="28"/>
  <c r="A35" i="28"/>
  <c r="BX1" i="28" s="1"/>
  <c r="IZ34" i="28"/>
  <c r="IZ33" i="28"/>
  <c r="IZ32" i="28"/>
  <c r="IZ31" i="28"/>
  <c r="IZ30" i="28"/>
  <c r="A30" i="28"/>
  <c r="IZ29" i="28"/>
  <c r="IZ28" i="28"/>
  <c r="IZ27" i="28"/>
  <c r="IZ26" i="28"/>
  <c r="IZ25" i="28"/>
  <c r="A25" i="28"/>
  <c r="IZ24" i="28"/>
  <c r="IZ23" i="28"/>
  <c r="IZ22" i="28"/>
  <c r="A22" i="28"/>
  <c r="IZ21" i="28"/>
  <c r="IZ20" i="28"/>
  <c r="IZ19" i="28"/>
  <c r="A19" i="28"/>
  <c r="IZ18" i="28"/>
  <c r="IZ17" i="28"/>
  <c r="IZ16" i="28"/>
  <c r="A16" i="28"/>
  <c r="IZ15" i="28"/>
  <c r="IZ14" i="28"/>
  <c r="IZ13" i="28"/>
  <c r="IZ12" i="28"/>
  <c r="IZ11" i="28"/>
  <c r="A11" i="28"/>
  <c r="IZ10" i="28"/>
  <c r="K10" i="28"/>
  <c r="AY9" i="28"/>
  <c r="AU9" i="28"/>
  <c r="AS9" i="28"/>
  <c r="A9" i="28"/>
  <c r="IM7" i="28"/>
  <c r="HX7" i="28"/>
  <c r="HI7" i="28"/>
  <c r="GT7" i="28"/>
  <c r="GE7" i="28"/>
  <c r="FP7" i="28"/>
  <c r="FA7" i="28"/>
  <c r="BU6" i="28"/>
  <c r="BQ6" i="28"/>
  <c r="BM6" i="28"/>
  <c r="BI6" i="28"/>
  <c r="BE6" i="28"/>
  <c r="BA6" i="28"/>
  <c r="AY6" i="28"/>
  <c r="AU6" i="28"/>
  <c r="AS6" i="28"/>
  <c r="AS11" i="28" s="1"/>
  <c r="AR6" i="28"/>
  <c r="AQ6" i="28"/>
  <c r="AQ12" i="28" s="1"/>
  <c r="AP6" i="28"/>
  <c r="IL5" i="28"/>
  <c r="IM5" i="28" s="1"/>
  <c r="IN5" i="28" s="1"/>
  <c r="IO5" i="28" s="1"/>
  <c r="IP5" i="28" s="1"/>
  <c r="IQ5" i="28" s="1"/>
  <c r="IR5" i="28" s="1"/>
  <c r="IS5" i="28" s="1"/>
  <c r="IT5" i="28" s="1"/>
  <c r="IU5" i="28" s="1"/>
  <c r="IV5" i="28" s="1"/>
  <c r="IW5" i="28" s="1"/>
  <c r="HW5" i="28"/>
  <c r="HX5" i="28" s="1"/>
  <c r="HY5" i="28" s="1"/>
  <c r="HZ5" i="28" s="1"/>
  <c r="IA5" i="28" s="1"/>
  <c r="IB5" i="28" s="1"/>
  <c r="IC5" i="28" s="1"/>
  <c r="ID5" i="28" s="1"/>
  <c r="IE5" i="28" s="1"/>
  <c r="IF5" i="28" s="1"/>
  <c r="IG5" i="28" s="1"/>
  <c r="IH5" i="28" s="1"/>
  <c r="HH5" i="28"/>
  <c r="HI5" i="28" s="1"/>
  <c r="HJ5" i="28" s="1"/>
  <c r="HK5" i="28" s="1"/>
  <c r="HL5" i="28" s="1"/>
  <c r="HM5" i="28" s="1"/>
  <c r="HN5" i="28" s="1"/>
  <c r="HO5" i="28" s="1"/>
  <c r="HP5" i="28" s="1"/>
  <c r="HQ5" i="28" s="1"/>
  <c r="HR5" i="28" s="1"/>
  <c r="HS5" i="28" s="1"/>
  <c r="GS5" i="28"/>
  <c r="GT5" i="28" s="1"/>
  <c r="GU5" i="28" s="1"/>
  <c r="GV5" i="28" s="1"/>
  <c r="GW5" i="28" s="1"/>
  <c r="GX5" i="28" s="1"/>
  <c r="GY5" i="28" s="1"/>
  <c r="GZ5" i="28" s="1"/>
  <c r="HA5" i="28" s="1"/>
  <c r="HB5" i="28" s="1"/>
  <c r="HC5" i="28" s="1"/>
  <c r="HD5" i="28" s="1"/>
  <c r="GD5" i="28"/>
  <c r="GE5" i="28" s="1"/>
  <c r="GF5" i="28" s="1"/>
  <c r="GG5" i="28" s="1"/>
  <c r="GH5" i="28" s="1"/>
  <c r="GI5" i="28" s="1"/>
  <c r="GJ5" i="28" s="1"/>
  <c r="GK5" i="28" s="1"/>
  <c r="GL5" i="28" s="1"/>
  <c r="GM5" i="28" s="1"/>
  <c r="GN5" i="28" s="1"/>
  <c r="GO5" i="28" s="1"/>
  <c r="FO5" i="28"/>
  <c r="FP5" i="28" s="1"/>
  <c r="FQ5" i="28" s="1"/>
  <c r="FR5" i="28" s="1"/>
  <c r="FS5" i="28" s="1"/>
  <c r="FT5" i="28" s="1"/>
  <c r="FU5" i="28" s="1"/>
  <c r="FV5" i="28" s="1"/>
  <c r="FW5" i="28" s="1"/>
  <c r="FX5" i="28" s="1"/>
  <c r="FY5" i="28" s="1"/>
  <c r="FZ5" i="28" s="1"/>
  <c r="EZ5" i="28"/>
  <c r="FA5" i="28" s="1"/>
  <c r="FB5" i="28" s="1"/>
  <c r="FC5" i="28" s="1"/>
  <c r="FD5" i="28" s="1"/>
  <c r="FE5" i="28" s="1"/>
  <c r="FF5" i="28" s="1"/>
  <c r="FG5" i="28" s="1"/>
  <c r="FH5" i="28" s="1"/>
  <c r="FI5" i="28" s="1"/>
  <c r="FJ5" i="28" s="1"/>
  <c r="FK5" i="28" s="1"/>
  <c r="A3" i="28"/>
  <c r="CM26" i="28" s="1"/>
  <c r="K10" i="20"/>
  <c r="A35" i="20"/>
  <c r="BX1" i="20" s="1"/>
  <c r="H33" i="28" l="1" a="1"/>
  <c r="H33" i="28" s="1"/>
  <c r="J32" i="28" a="1"/>
  <c r="J32" i="28" s="1"/>
  <c r="I32" i="28" a="1"/>
  <c r="I32" i="28" s="1"/>
  <c r="H32" i="28" a="1"/>
  <c r="H32" i="28" s="1"/>
  <c r="I31" i="28" a="1"/>
  <c r="I31" i="28" s="1"/>
  <c r="H31" i="28" a="1"/>
  <c r="H31" i="28" s="1"/>
  <c r="J31" i="28" a="1"/>
  <c r="J31" i="28" s="1"/>
  <c r="J33" i="28" a="1"/>
  <c r="J33" i="28" s="1"/>
  <c r="I33" i="28" a="1"/>
  <c r="I33" i="28" s="1"/>
  <c r="JF38" i="35"/>
  <c r="FM156" i="35"/>
  <c r="JD39" i="35"/>
  <c r="JE39" i="35" s="1"/>
  <c r="HI10" i="28"/>
  <c r="JQ40" i="28" s="1"/>
  <c r="ED13" i="28"/>
  <c r="FQ14" i="28"/>
  <c r="GU11" i="28"/>
  <c r="GF13" i="28"/>
  <c r="HY11" i="28"/>
  <c r="AS12" i="28"/>
  <c r="HY14" i="28"/>
  <c r="GF23" i="28"/>
  <c r="H3" i="28"/>
  <c r="L6" i="28" s="1"/>
  <c r="FQ11" i="28"/>
  <c r="IM10" i="28"/>
  <c r="JA10" i="28" s="1"/>
  <c r="ED22" i="28"/>
  <c r="AQ11" i="28"/>
  <c r="FQ20" i="28"/>
  <c r="I3" i="28"/>
  <c r="FO10" i="28"/>
  <c r="FQ12" i="28"/>
  <c r="GC10" i="28"/>
  <c r="GF12" i="28"/>
  <c r="HG10" i="28"/>
  <c r="CM11" i="28"/>
  <c r="BY1" i="28"/>
  <c r="EZ155" i="28"/>
  <c r="EZ150" i="28"/>
  <c r="EZ142" i="28"/>
  <c r="EZ134" i="28"/>
  <c r="EZ153" i="28"/>
  <c r="EZ156" i="28"/>
  <c r="EZ148" i="28"/>
  <c r="EZ140" i="28"/>
  <c r="EZ132" i="28"/>
  <c r="EZ124" i="28"/>
  <c r="EZ151" i="28"/>
  <c r="EZ143" i="28"/>
  <c r="EZ135" i="28"/>
  <c r="EZ127" i="28"/>
  <c r="EZ149" i="28"/>
  <c r="EZ141" i="28"/>
  <c r="EZ133" i="28"/>
  <c r="EZ125" i="28"/>
  <c r="EZ154" i="28"/>
  <c r="EZ147" i="28"/>
  <c r="EZ131" i="28"/>
  <c r="EZ137" i="28"/>
  <c r="EZ138" i="28"/>
  <c r="EZ144" i="28"/>
  <c r="EZ128" i="28"/>
  <c r="EZ139" i="28"/>
  <c r="EZ123" i="28"/>
  <c r="EZ146" i="28"/>
  <c r="EZ130" i="28"/>
  <c r="EZ136" i="28"/>
  <c r="EZ145" i="28"/>
  <c r="EZ152" i="28"/>
  <c r="EZ129" i="28"/>
  <c r="FA1" i="28"/>
  <c r="EY123" i="28"/>
  <c r="J3" i="28"/>
  <c r="FN8" i="28"/>
  <c r="FP8" i="28" s="1"/>
  <c r="HV8" i="28"/>
  <c r="HX8" i="28" s="1"/>
  <c r="FP10" i="28"/>
  <c r="JJ10" i="28" s="1"/>
  <c r="JK10" i="28" s="1"/>
  <c r="HH10" i="28"/>
  <c r="EA12" i="28"/>
  <c r="CM13" i="28"/>
  <c r="HJ13" i="28"/>
  <c r="CM14" i="28"/>
  <c r="GU15" i="28"/>
  <c r="GU16" i="28"/>
  <c r="FB19" i="28"/>
  <c r="GU22" i="28"/>
  <c r="GC8" i="28"/>
  <c r="GE8" i="28" s="1"/>
  <c r="IK8" i="28"/>
  <c r="IM8" i="28" s="1"/>
  <c r="GD10" i="28"/>
  <c r="HV10" i="28"/>
  <c r="EA11" i="28"/>
  <c r="ED12" i="28"/>
  <c r="GU12" i="28"/>
  <c r="FB13" i="28"/>
  <c r="ED14" i="28"/>
  <c r="IN19" i="28"/>
  <c r="EY10" i="28"/>
  <c r="GE10" i="28"/>
  <c r="HW10" i="28"/>
  <c r="FB12" i="28"/>
  <c r="HJ12" i="28"/>
  <c r="GR8" i="28"/>
  <c r="EZ10" i="28"/>
  <c r="GR10" i="28"/>
  <c r="HX10" i="28"/>
  <c r="ED11" i="28"/>
  <c r="HY12" i="28"/>
  <c r="IN13" i="28"/>
  <c r="FQ15" i="28"/>
  <c r="HY15" i="28"/>
  <c r="FQ16" i="28"/>
  <c r="HY16" i="28"/>
  <c r="HJ19" i="28"/>
  <c r="HJ24" i="28"/>
  <c r="IN40" i="28"/>
  <c r="HJ40" i="28"/>
  <c r="GF40" i="28"/>
  <c r="FB40" i="28"/>
  <c r="IN39" i="28"/>
  <c r="HJ39" i="28"/>
  <c r="GF39" i="28"/>
  <c r="FB39" i="28"/>
  <c r="CM38" i="28"/>
  <c r="HY40" i="28"/>
  <c r="EA39" i="28"/>
  <c r="FQ40" i="28"/>
  <c r="ED38" i="28"/>
  <c r="IN38" i="28"/>
  <c r="HY38" i="28"/>
  <c r="HJ38" i="28"/>
  <c r="GU39" i="28"/>
  <c r="GF38" i="28"/>
  <c r="EA38" i="28"/>
  <c r="EA36" i="28"/>
  <c r="CM34" i="28"/>
  <c r="IN33" i="28"/>
  <c r="HJ33" i="28"/>
  <c r="GF33" i="28"/>
  <c r="FB33" i="28"/>
  <c r="FQ38" i="28"/>
  <c r="IN37" i="28"/>
  <c r="HJ37" i="28"/>
  <c r="GF37" i="28"/>
  <c r="FB37" i="28"/>
  <c r="HY36" i="28"/>
  <c r="GU36" i="28"/>
  <c r="FQ36" i="28"/>
  <c r="CM35" i="28"/>
  <c r="ED39" i="28"/>
  <c r="FQ39" i="28"/>
  <c r="FB38" i="28"/>
  <c r="FQ37" i="28"/>
  <c r="ED36" i="28"/>
  <c r="FQ35" i="28"/>
  <c r="FB35" i="28"/>
  <c r="IN34" i="28"/>
  <c r="GU33" i="28"/>
  <c r="HY32" i="28"/>
  <c r="GU32" i="28"/>
  <c r="FQ32" i="28"/>
  <c r="IN31" i="28"/>
  <c r="HJ31" i="28"/>
  <c r="GF31" i="28"/>
  <c r="FB31" i="28"/>
  <c r="CM39" i="28"/>
  <c r="GU37" i="28"/>
  <c r="GU40" i="28"/>
  <c r="HY37" i="28"/>
  <c r="ED37" i="28"/>
  <c r="CM37" i="28"/>
  <c r="IN35" i="28"/>
  <c r="HY34" i="28"/>
  <c r="HJ34" i="28"/>
  <c r="FQ33" i="28"/>
  <c r="CM32" i="28"/>
  <c r="CM30" i="28"/>
  <c r="ED40" i="28"/>
  <c r="GU38" i="28"/>
  <c r="EA37" i="28"/>
  <c r="FB36" i="28"/>
  <c r="CM36" i="28"/>
  <c r="ED34" i="28"/>
  <c r="ED33" i="28"/>
  <c r="EA31" i="28"/>
  <c r="CM40" i="28"/>
  <c r="IN36" i="28"/>
  <c r="ED35" i="28"/>
  <c r="EA34" i="28"/>
  <c r="HJ36" i="28"/>
  <c r="GU35" i="28"/>
  <c r="EA40" i="28"/>
  <c r="GF36" i="28"/>
  <c r="FB34" i="28"/>
  <c r="GF32" i="28"/>
  <c r="GU31" i="28"/>
  <c r="HJ30" i="28"/>
  <c r="FQ30" i="28"/>
  <c r="HY39" i="28"/>
  <c r="HJ35" i="28"/>
  <c r="IN32" i="28"/>
  <c r="ED32" i="28"/>
  <c r="ED31" i="28"/>
  <c r="FB30" i="28"/>
  <c r="HY29" i="28"/>
  <c r="GU29" i="28"/>
  <c r="FQ29" i="28"/>
  <c r="CM28" i="28"/>
  <c r="IN27" i="28"/>
  <c r="HJ27" i="28"/>
  <c r="GF27" i="28"/>
  <c r="FB27" i="28"/>
  <c r="GF35" i="28"/>
  <c r="GU34" i="28"/>
  <c r="IN30" i="28"/>
  <c r="GU30" i="28"/>
  <c r="EA30" i="28"/>
  <c r="HY33" i="28"/>
  <c r="CM31" i="28"/>
  <c r="GF30" i="28"/>
  <c r="ED28" i="28"/>
  <c r="EA35" i="28"/>
  <c r="GF34" i="28"/>
  <c r="HJ28" i="28"/>
  <c r="HY35" i="28"/>
  <c r="FB32" i="28"/>
  <c r="HY30" i="28"/>
  <c r="HJ29" i="28"/>
  <c r="GU28" i="28"/>
  <c r="FQ34" i="28"/>
  <c r="CM33" i="28"/>
  <c r="HJ32" i="28"/>
  <c r="FB29" i="28"/>
  <c r="GF28" i="28"/>
  <c r="EA28" i="28"/>
  <c r="ED30" i="28"/>
  <c r="FQ28" i="28"/>
  <c r="HY27" i="28"/>
  <c r="EA27" i="28"/>
  <c r="HY31" i="28"/>
  <c r="IN28" i="28"/>
  <c r="ED29" i="28"/>
  <c r="ED26" i="28"/>
  <c r="EA25" i="28"/>
  <c r="EA33" i="28"/>
  <c r="EA32" i="28"/>
  <c r="EA29" i="28"/>
  <c r="GU27" i="28"/>
  <c r="HY25" i="28"/>
  <c r="GU25" i="28"/>
  <c r="FQ25" i="28"/>
  <c r="ED23" i="28"/>
  <c r="EA22" i="28"/>
  <c r="GF29" i="28"/>
  <c r="ED27" i="28"/>
  <c r="EA26" i="28"/>
  <c r="HY26" i="28"/>
  <c r="GU26" i="28"/>
  <c r="FQ26" i="28"/>
  <c r="CM25" i="28"/>
  <c r="ED24" i="28"/>
  <c r="EA23" i="28"/>
  <c r="IN21" i="28"/>
  <c r="HJ21" i="28"/>
  <c r="GF21" i="28"/>
  <c r="FB21" i="28"/>
  <c r="IN29" i="28"/>
  <c r="HY23" i="28"/>
  <c r="GU23" i="28"/>
  <c r="FQ23" i="28"/>
  <c r="CM22" i="28"/>
  <c r="FQ31" i="28"/>
  <c r="HY28" i="28"/>
  <c r="FB28" i="28"/>
  <c r="CM27" i="28"/>
  <c r="ED25" i="28"/>
  <c r="HY24" i="28"/>
  <c r="GU24" i="28"/>
  <c r="FQ24" i="28"/>
  <c r="CM23" i="28"/>
  <c r="IN22" i="28"/>
  <c r="HJ22" i="28"/>
  <c r="GF22" i="28"/>
  <c r="FB22" i="28"/>
  <c r="EA21" i="28"/>
  <c r="FB26" i="28"/>
  <c r="IN25" i="28"/>
  <c r="EA24" i="28"/>
  <c r="FQ21" i="28"/>
  <c r="IN20" i="28"/>
  <c r="EA19" i="28"/>
  <c r="CM18" i="28"/>
  <c r="IN17" i="28"/>
  <c r="HJ17" i="28"/>
  <c r="GF17" i="28"/>
  <c r="FB17" i="28"/>
  <c r="HY22" i="28"/>
  <c r="FQ22" i="28"/>
  <c r="HY21" i="28"/>
  <c r="HY20" i="28"/>
  <c r="HY19" i="28"/>
  <c r="GU19" i="28"/>
  <c r="FQ19" i="28"/>
  <c r="ED17" i="28"/>
  <c r="EA16" i="28"/>
  <c r="CM15" i="28"/>
  <c r="IN14" i="28"/>
  <c r="HJ14" i="28"/>
  <c r="GF14" i="28"/>
  <c r="FB14" i="28"/>
  <c r="FQ27" i="28"/>
  <c r="GF26" i="28"/>
  <c r="FB25" i="28"/>
  <c r="CM24" i="28"/>
  <c r="CM21" i="28"/>
  <c r="HJ20" i="28"/>
  <c r="IN18" i="28"/>
  <c r="HJ18" i="28"/>
  <c r="GF18" i="28"/>
  <c r="FB18" i="28"/>
  <c r="CM29" i="28"/>
  <c r="IN24" i="28"/>
  <c r="GF24" i="28"/>
  <c r="HJ23" i="28"/>
  <c r="FB23" i="28"/>
  <c r="GU20" i="28"/>
  <c r="ED20" i="28"/>
  <c r="CM19" i="28"/>
  <c r="ED18" i="28"/>
  <c r="EA17" i="28"/>
  <c r="IN15" i="28"/>
  <c r="HJ15" i="28"/>
  <c r="GF15" i="28"/>
  <c r="FB15" i="28"/>
  <c r="HY13" i="28"/>
  <c r="GU13" i="28"/>
  <c r="FQ13" i="28"/>
  <c r="HJ26" i="28"/>
  <c r="GF25" i="28"/>
  <c r="GF20" i="28"/>
  <c r="EA20" i="28"/>
  <c r="HY17" i="28"/>
  <c r="GU17" i="28"/>
  <c r="FQ17" i="28"/>
  <c r="CM16" i="28"/>
  <c r="ED15" i="28"/>
  <c r="EA14" i="28"/>
  <c r="IN26" i="28"/>
  <c r="HJ25" i="28"/>
  <c r="GU21" i="28"/>
  <c r="ED21" i="28"/>
  <c r="FB20" i="28"/>
  <c r="CM20" i="28"/>
  <c r="ED19" i="28"/>
  <c r="HY18" i="28"/>
  <c r="GU18" i="28"/>
  <c r="FQ18" i="28"/>
  <c r="CM17" i="28"/>
  <c r="IN16" i="28"/>
  <c r="HJ16" i="28"/>
  <c r="GF16" i="28"/>
  <c r="FB16" i="28"/>
  <c r="EA15" i="28"/>
  <c r="FA10" i="28"/>
  <c r="JH10" i="28" s="1"/>
  <c r="JI10" i="28" s="1"/>
  <c r="GS10" i="28"/>
  <c r="IK10" i="28"/>
  <c r="JC10" i="28" s="1"/>
  <c r="FB11" i="28"/>
  <c r="GF11" i="28"/>
  <c r="HJ11" i="28"/>
  <c r="IN11" i="28"/>
  <c r="CM12" i="28"/>
  <c r="IN12" i="28"/>
  <c r="GU14" i="28"/>
  <c r="IN23" i="28"/>
  <c r="EY8" i="28"/>
  <c r="HG8" i="28"/>
  <c r="FN10" i="28"/>
  <c r="GT10" i="28"/>
  <c r="IL10" i="28"/>
  <c r="EA13" i="28"/>
  <c r="ED16" i="28"/>
  <c r="EA18" i="28"/>
  <c r="GF19" i="28"/>
  <c r="FB24" i="28"/>
  <c r="BY1" i="20"/>
  <c r="IX40" i="35" l="1"/>
  <c r="JF39" i="35"/>
  <c r="IX39" i="35"/>
  <c r="JU40" i="28"/>
  <c r="JP10" i="28"/>
  <c r="JQ10" i="28" s="1"/>
  <c r="FN9" i="28"/>
  <c r="FP9" i="28" s="1"/>
  <c r="FM123" i="28"/>
  <c r="FL123" i="28"/>
  <c r="L9" i="28"/>
  <c r="L12" i="28" s="1"/>
  <c r="EY126" i="28"/>
  <c r="FL126" i="28" s="1"/>
  <c r="FL127" i="28" s="1"/>
  <c r="FL128" i="28" s="1"/>
  <c r="FL129" i="28" s="1"/>
  <c r="FL130" i="28" s="1"/>
  <c r="FL131" i="28" s="1"/>
  <c r="FL132" i="28" s="1"/>
  <c r="FL133" i="28" s="1"/>
  <c r="FL134" i="28" s="1"/>
  <c r="FL135" i="28" s="1"/>
  <c r="FL136" i="28" s="1"/>
  <c r="FL137" i="28" s="1"/>
  <c r="FL138" i="28" s="1"/>
  <c r="FL139" i="28" s="1"/>
  <c r="FL140" i="28" s="1"/>
  <c r="FL141" i="28" s="1"/>
  <c r="FL142" i="28" s="1"/>
  <c r="FL143" i="28" s="1"/>
  <c r="FL144" i="28" s="1"/>
  <c r="FL145" i="28" s="1"/>
  <c r="FL146" i="28" s="1"/>
  <c r="FL147" i="28" s="1"/>
  <c r="FL148" i="28" s="1"/>
  <c r="FL149" i="28" s="1"/>
  <c r="FL150" i="28" s="1"/>
  <c r="FL151" i="28" s="1"/>
  <c r="FL152" i="28" s="1"/>
  <c r="FL153" i="28" s="1"/>
  <c r="FL154" i="28" s="1"/>
  <c r="FL155" i="28" s="1"/>
  <c r="FL156" i="28" s="1"/>
  <c r="JT10" i="28"/>
  <c r="JU10" i="28" s="1"/>
  <c r="IK9" i="28"/>
  <c r="IM9" i="28" s="1"/>
  <c r="L4" i="28"/>
  <c r="L10" i="28"/>
  <c r="L11" i="28" s="1"/>
  <c r="EZ126" i="28"/>
  <c r="FM126" i="28" s="1"/>
  <c r="HV9" i="28"/>
  <c r="HX9" i="28" s="1"/>
  <c r="HI8" i="28"/>
  <c r="HG9" i="28"/>
  <c r="JD10" i="28"/>
  <c r="JS40" i="28"/>
  <c r="JR10" i="28"/>
  <c r="JS10" i="28" s="1"/>
  <c r="EY124" i="28"/>
  <c r="FA126" i="28"/>
  <c r="FA123" i="28"/>
  <c r="FB1" i="28"/>
  <c r="GC9" i="28"/>
  <c r="GE9" i="28" s="1"/>
  <c r="FA8" i="28"/>
  <c r="FA124" i="28" s="1"/>
  <c r="EY9" i="28"/>
  <c r="FA9" i="28" s="1"/>
  <c r="JO40" i="28"/>
  <c r="JN10" i="28"/>
  <c r="JO10" i="28" s="1"/>
  <c r="GT8" i="28"/>
  <c r="GR9" i="28"/>
  <c r="GT9" i="28" s="1"/>
  <c r="JM40" i="28"/>
  <c r="JL10" i="28"/>
  <c r="JM10" i="28" s="1"/>
  <c r="FM127" i="28" l="1"/>
  <c r="JE10" i="28"/>
  <c r="JF10" i="28" s="1"/>
  <c r="JG10" i="28" s="1"/>
  <c r="FM124" i="28"/>
  <c r="FL124" i="28"/>
  <c r="JB10" i="28"/>
  <c r="FB153" i="28"/>
  <c r="FB156" i="28"/>
  <c r="FB148" i="28"/>
  <c r="FB140" i="28"/>
  <c r="FB132" i="28"/>
  <c r="FB124" i="28"/>
  <c r="FB151" i="28"/>
  <c r="FB154" i="28"/>
  <c r="FB146" i="28"/>
  <c r="FB138" i="28"/>
  <c r="FB130" i="28"/>
  <c r="FB149" i="28"/>
  <c r="FB141" i="28"/>
  <c r="FB133" i="28"/>
  <c r="FB125" i="28"/>
  <c r="FB155" i="28"/>
  <c r="FB147" i="28"/>
  <c r="FB139" i="28"/>
  <c r="FB131" i="28"/>
  <c r="FB123" i="28"/>
  <c r="FB137" i="28"/>
  <c r="FB143" i="28"/>
  <c r="FB127" i="28"/>
  <c r="FB144" i="28"/>
  <c r="FB128" i="28"/>
  <c r="FB134" i="28"/>
  <c r="FB145" i="28"/>
  <c r="FB129" i="28"/>
  <c r="FB152" i="28"/>
  <c r="FB136" i="28"/>
  <c r="FB126" i="28"/>
  <c r="FB135" i="28"/>
  <c r="FB150" i="28"/>
  <c r="FB142" i="28"/>
  <c r="FC1" i="28"/>
  <c r="HI9" i="28"/>
  <c r="FA125" i="28" s="1"/>
  <c r="EY125" i="28"/>
  <c r="JF42" i="28" l="1"/>
  <c r="FM128" i="28"/>
  <c r="JE11" i="28"/>
  <c r="JF11" i="28" s="1"/>
  <c r="FM125" i="28"/>
  <c r="FL125" i="28"/>
  <c r="FC125" i="28"/>
  <c r="FC122" i="28"/>
  <c r="FC126" i="28"/>
  <c r="FC123" i="28"/>
  <c r="FC124" i="28"/>
  <c r="FD1" i="28"/>
  <c r="IY11" i="28" l="1"/>
  <c r="JG11" i="28"/>
  <c r="FM129" i="28"/>
  <c r="JE12" i="28"/>
  <c r="JF12" i="28" s="1"/>
  <c r="FD123" i="28"/>
  <c r="FD124" i="28"/>
  <c r="FD126" i="28"/>
  <c r="FD125" i="28"/>
  <c r="FD122" i="28"/>
  <c r="FE1" i="28"/>
  <c r="FM130" i="28" l="1"/>
  <c r="JE13" i="28"/>
  <c r="JF13" i="28" s="1"/>
  <c r="FE125" i="28"/>
  <c r="FE123" i="28"/>
  <c r="FE126" i="28"/>
  <c r="FE124" i="28"/>
  <c r="FF1" i="28"/>
  <c r="FM131" i="28" l="1"/>
  <c r="JE14" i="28"/>
  <c r="JF14" i="28" s="1"/>
  <c r="FF126" i="28"/>
  <c r="FF123" i="28"/>
  <c r="FF124" i="28"/>
  <c r="FF125" i="28"/>
  <c r="FG1" i="28"/>
  <c r="FM132" i="28" l="1"/>
  <c r="JE15" i="28"/>
  <c r="JF15" i="28" s="1"/>
  <c r="FG123" i="28"/>
  <c r="FG124" i="28"/>
  <c r="FG125" i="28"/>
  <c r="FG126" i="28"/>
  <c r="FH1" i="28"/>
  <c r="FM133" i="28" l="1"/>
  <c r="JE16" i="28"/>
  <c r="JF16" i="28" s="1"/>
  <c r="FH126" i="28"/>
  <c r="FH124" i="28"/>
  <c r="FH125" i="28"/>
  <c r="FH123" i="28"/>
  <c r="FI1" i="28"/>
  <c r="FM134" i="28" l="1"/>
  <c r="JE17" i="28"/>
  <c r="JF17" i="28" s="1"/>
  <c r="FI124" i="28"/>
  <c r="FI125" i="28"/>
  <c r="FI126" i="28"/>
  <c r="FI123" i="28"/>
  <c r="FJ1" i="28"/>
  <c r="FM135" i="28" l="1"/>
  <c r="JE18" i="28"/>
  <c r="JF18" i="28" s="1"/>
  <c r="FJ124" i="28"/>
  <c r="FJ125" i="28"/>
  <c r="FJ123" i="28"/>
  <c r="FJ126" i="28"/>
  <c r="FK1" i="28"/>
  <c r="FM136" i="28" l="1"/>
  <c r="JE19" i="28"/>
  <c r="JF19" i="28" s="1"/>
  <c r="FK125" i="28"/>
  <c r="FK126" i="28"/>
  <c r="FK124" i="28"/>
  <c r="FK123" i="28"/>
  <c r="FM137" i="28" l="1"/>
  <c r="JE20" i="28"/>
  <c r="JF20" i="28" s="1"/>
  <c r="IY20" i="28" l="1"/>
  <c r="FM138" i="28"/>
  <c r="JE21" i="28"/>
  <c r="JF21" i="28" s="1"/>
  <c r="FM139" i="28" l="1"/>
  <c r="JE22" i="28"/>
  <c r="JF22" i="28" s="1"/>
  <c r="FM140" i="28" l="1"/>
  <c r="JE23" i="28"/>
  <c r="JF23" i="28" s="1"/>
  <c r="FM141" i="28" l="1"/>
  <c r="JE24" i="28"/>
  <c r="JF24" i="28" s="1"/>
  <c r="FM142" i="28" l="1"/>
  <c r="JE25" i="28"/>
  <c r="JF25" i="28" s="1"/>
  <c r="FM143" i="28" l="1"/>
  <c r="JE26" i="28"/>
  <c r="JF26" i="28" s="1"/>
  <c r="FM144" i="28" l="1"/>
  <c r="JE27" i="28"/>
  <c r="JF27" i="28" s="1"/>
  <c r="FM145" i="28" l="1"/>
  <c r="JE28" i="28"/>
  <c r="JF28" i="28" s="1"/>
  <c r="FM146" i="28" l="1"/>
  <c r="JE29" i="28"/>
  <c r="JF29" i="28" s="1"/>
  <c r="FM147" i="28" l="1"/>
  <c r="JE30" i="28"/>
  <c r="JF30" i="28" s="1"/>
  <c r="FM148" i="28" l="1"/>
  <c r="JE31" i="28"/>
  <c r="JF31" i="28" s="1"/>
  <c r="FM149" i="28" l="1"/>
  <c r="JE32" i="28"/>
  <c r="JF32" i="28" s="1"/>
  <c r="FM150" i="28" l="1"/>
  <c r="JE33" i="28"/>
  <c r="JF33" i="28" s="1"/>
  <c r="FM151" i="28" l="1"/>
  <c r="JE34" i="28"/>
  <c r="JF34" i="28" s="1"/>
  <c r="FM152" i="28" l="1"/>
  <c r="JE35" i="28"/>
  <c r="JF35" i="28" s="1"/>
  <c r="FM153" i="28" l="1"/>
  <c r="JE36" i="28"/>
  <c r="JF36" i="28" s="1"/>
  <c r="FM154" i="28" l="1"/>
  <c r="JE37" i="28"/>
  <c r="JF37" i="28" s="1"/>
  <c r="FM155" i="28" l="1"/>
  <c r="JE38" i="28"/>
  <c r="JF38" i="28" s="1"/>
  <c r="FM156" i="28" l="1"/>
  <c r="JE39" i="28"/>
  <c r="JF39" i="28" s="1"/>
  <c r="P39" i="27" l="1"/>
  <c r="P31" i="27"/>
  <c r="P36" i="27"/>
  <c r="P28" i="27"/>
  <c r="A39" i="27"/>
  <c r="P40" i="27" s="1"/>
  <c r="A31" i="27"/>
  <c r="P32" i="27" s="1"/>
  <c r="P23" i="27"/>
  <c r="A25" i="27"/>
  <c r="P17" i="27"/>
  <c r="A19" i="27"/>
  <c r="P11" i="27"/>
  <c r="A13" i="27"/>
  <c r="A7" i="27"/>
  <c r="P5" i="27"/>
  <c r="P6" i="27" l="1"/>
  <c r="A6" i="28" s="1"/>
  <c r="P29" i="27"/>
  <c r="P12" i="27"/>
  <c r="P24" i="27"/>
  <c r="P37" i="27"/>
  <c r="P18" i="27"/>
  <c r="M10" i="28" l="1"/>
  <c r="M11" i="28" s="1"/>
  <c r="GC16" i="28"/>
  <c r="GR11" i="28"/>
  <c r="IK31" i="28"/>
  <c r="IK27" i="28"/>
  <c r="IK22" i="28"/>
  <c r="EY20" i="28"/>
  <c r="EY34" i="28"/>
  <c r="HV29" i="28"/>
  <c r="FN24" i="28"/>
  <c r="HV36" i="28"/>
  <c r="FN40" i="28"/>
  <c r="HG30" i="28"/>
  <c r="GR15" i="28"/>
  <c r="IK29" i="28"/>
  <c r="IK37" i="28"/>
  <c r="EY26" i="28"/>
  <c r="IK17" i="28"/>
  <c r="HG19" i="28"/>
  <c r="HV39" i="28"/>
  <c r="HV18" i="28"/>
  <c r="HV35" i="28"/>
  <c r="GC30" i="28"/>
  <c r="HV20" i="28"/>
  <c r="HV17" i="28"/>
  <c r="FN32" i="28"/>
  <c r="EY22" i="28"/>
  <c r="GR26" i="28"/>
  <c r="IK26" i="28"/>
  <c r="HG25" i="28"/>
  <c r="FN27" i="28"/>
  <c r="GR19" i="28"/>
  <c r="EY38" i="28"/>
  <c r="HG13" i="28"/>
  <c r="HG33" i="28"/>
  <c r="HG14" i="28"/>
  <c r="IK39" i="28"/>
  <c r="FN33" i="28"/>
  <c r="FN31" i="28"/>
  <c r="GC12" i="28"/>
  <c r="FN18" i="28"/>
  <c r="FN22" i="28"/>
  <c r="IK32" i="28"/>
  <c r="GC21" i="28"/>
  <c r="HV14" i="28"/>
  <c r="HG39" i="28"/>
  <c r="EY24" i="28"/>
  <c r="M9" i="28"/>
  <c r="M12" i="28" s="1"/>
  <c r="GC34" i="28"/>
  <c r="GC18" i="28"/>
  <c r="FN37" i="28"/>
  <c r="HG34" i="28"/>
  <c r="GC27" i="28"/>
  <c r="HG28" i="28"/>
  <c r="GR25" i="28"/>
  <c r="HG32" i="28"/>
  <c r="GC37" i="28"/>
  <c r="GC17" i="28"/>
  <c r="FN30" i="28"/>
  <c r="HV13" i="28"/>
  <c r="GC20" i="28"/>
  <c r="HV11" i="28"/>
  <c r="IK40" i="28"/>
  <c r="IK33" i="28"/>
  <c r="FN21" i="28"/>
  <c r="HV31" i="28"/>
  <c r="HG18" i="28"/>
  <c r="GR13" i="28"/>
  <c r="FN13" i="28"/>
  <c r="HG29" i="28"/>
  <c r="GR36" i="28"/>
  <c r="FN20" i="28"/>
  <c r="IK11" i="28"/>
  <c r="JC11" i="28" s="1"/>
  <c r="GR33" i="28"/>
  <c r="HG26" i="28"/>
  <c r="HV12" i="28"/>
  <c r="HV23" i="28"/>
  <c r="HV33" i="28"/>
  <c r="FN29" i="28"/>
  <c r="FN19" i="28"/>
  <c r="HG21" i="28"/>
  <c r="EY31" i="28"/>
  <c r="IK24" i="28"/>
  <c r="EY27" i="28"/>
  <c r="GC38" i="28"/>
  <c r="EY32" i="28"/>
  <c r="EY13" i="28"/>
  <c r="GC35" i="28"/>
  <c r="IK28" i="28"/>
  <c r="EY21" i="28"/>
  <c r="EY11" i="28"/>
  <c r="EY36" i="28"/>
  <c r="IK25" i="28"/>
  <c r="IK12" i="28"/>
  <c r="GR21" i="28"/>
  <c r="HG15" i="28"/>
  <c r="HV37" i="28"/>
  <c r="EY18" i="28"/>
  <c r="GC31" i="28"/>
  <c r="GR12" i="28"/>
  <c r="EY33" i="28"/>
  <c r="FN12" i="28"/>
  <c r="IK20" i="28"/>
  <c r="GR32" i="28"/>
  <c r="GC39" i="28"/>
  <c r="FN36" i="28"/>
  <c r="EY37" i="28"/>
  <c r="HV19" i="28"/>
  <c r="IK13" i="28"/>
  <c r="EY39" i="28"/>
  <c r="GC36" i="28"/>
  <c r="EY28" i="28"/>
  <c r="GC15" i="28"/>
  <c r="HG11" i="28"/>
  <c r="GR31" i="28"/>
  <c r="GR23" i="28"/>
  <c r="GR17" i="28"/>
  <c r="HV40" i="28"/>
  <c r="HG31" i="28"/>
  <c r="HV21" i="28"/>
  <c r="GC22" i="28"/>
  <c r="FN16" i="28"/>
  <c r="GC33" i="28"/>
  <c r="GC26" i="28"/>
  <c r="IK14" i="28"/>
  <c r="EY15" i="28"/>
  <c r="IK35" i="28"/>
  <c r="GR22" i="28"/>
  <c r="GR20" i="28"/>
  <c r="HG37" i="28"/>
  <c r="FN25" i="28"/>
  <c r="HG17" i="28"/>
  <c r="EY35" i="28"/>
  <c r="HG20" i="28"/>
  <c r="EY14" i="28"/>
  <c r="M6" i="28"/>
  <c r="HG36" i="28"/>
  <c r="EY17" i="28"/>
  <c r="EY19" i="28"/>
  <c r="GR28" i="28"/>
  <c r="GR38" i="28"/>
  <c r="HV27" i="28"/>
  <c r="GR14" i="28"/>
  <c r="HV25" i="28"/>
  <c r="FN14" i="28"/>
  <c r="IK23" i="28"/>
  <c r="FN39" i="28"/>
  <c r="GC14" i="28"/>
  <c r="GC24" i="28"/>
  <c r="HV16" i="28"/>
  <c r="GC32" i="28"/>
  <c r="HG23" i="28"/>
  <c r="FN26" i="28"/>
  <c r="IK19" i="28"/>
  <c r="GR34" i="28"/>
  <c r="EY29" i="28"/>
  <c r="HV26" i="28"/>
  <c r="IK16" i="28"/>
  <c r="EY12" i="28"/>
  <c r="GC25" i="28"/>
  <c r="HV38" i="28"/>
  <c r="HG35" i="28"/>
  <c r="HV24" i="28"/>
  <c r="GC11" i="28"/>
  <c r="EY40" i="28"/>
  <c r="GC29" i="28"/>
  <c r="FN23" i="28"/>
  <c r="FN17" i="28"/>
  <c r="GR40" i="28"/>
  <c r="GR37" i="28"/>
  <c r="HG27" i="28"/>
  <c r="IK21" i="28"/>
  <c r="HG40" i="28"/>
  <c r="IK30" i="28"/>
  <c r="FN15" i="28"/>
  <c r="GC19" i="28"/>
  <c r="EY135" i="28" s="1"/>
  <c r="HV32" i="28"/>
  <c r="HG24" i="28"/>
  <c r="HG12" i="28"/>
  <c r="GR30" i="28"/>
  <c r="HG22" i="28"/>
  <c r="GR24" i="28"/>
  <c r="GR35" i="28"/>
  <c r="GR27" i="28"/>
  <c r="IK18" i="28"/>
  <c r="IK15" i="28"/>
  <c r="GC40" i="28"/>
  <c r="GR29" i="28"/>
  <c r="EY25" i="28"/>
  <c r="IK38" i="28"/>
  <c r="HV34" i="28"/>
  <c r="FN28" i="28"/>
  <c r="HV15" i="28"/>
  <c r="EY16" i="28"/>
  <c r="FN38" i="28"/>
  <c r="IK36" i="28"/>
  <c r="HV22" i="28"/>
  <c r="HG16" i="28"/>
  <c r="FN34" i="28"/>
  <c r="GC28" i="28"/>
  <c r="GC13" i="28"/>
  <c r="EY23" i="28"/>
  <c r="HV30" i="28"/>
  <c r="GR18" i="28"/>
  <c r="GR16" i="28"/>
  <c r="HG38" i="28"/>
  <c r="HV28" i="28"/>
  <c r="FN35" i="28"/>
  <c r="GR39" i="28"/>
  <c r="GC23" i="28"/>
  <c r="IK34" i="28"/>
  <c r="FN11" i="28"/>
  <c r="EY30" i="28"/>
  <c r="BZ6" i="28"/>
  <c r="BZ9" i="28"/>
  <c r="BM9" i="28"/>
  <c r="BI9" i="28"/>
  <c r="BE9" i="28"/>
  <c r="BA9" i="28"/>
  <c r="BQ9" i="28"/>
  <c r="BU9" i="28"/>
  <c r="BV9" i="28"/>
  <c r="BF9" i="28"/>
  <c r="BT9" i="28"/>
  <c r="BD9" i="28"/>
  <c r="BR9" i="28"/>
  <c r="BB9" i="28"/>
  <c r="BP9" i="28"/>
  <c r="AZ9" i="28"/>
  <c r="BH9" i="28"/>
  <c r="BN9" i="28"/>
  <c r="BL9" i="28"/>
  <c r="BJ9" i="28"/>
  <c r="AQ9" i="28"/>
  <c r="AP9" i="28"/>
  <c r="AR9" i="28"/>
  <c r="BR6" i="28"/>
  <c r="BB6" i="28"/>
  <c r="BH6" i="28"/>
  <c r="BV6" i="28"/>
  <c r="BT6" i="28"/>
  <c r="BP6" i="28"/>
  <c r="AZ6" i="28"/>
  <c r="BN6" i="28"/>
  <c r="BL6" i="28"/>
  <c r="BJ6" i="28"/>
  <c r="BF6" i="28"/>
  <c r="BD6" i="28"/>
  <c r="EY152" i="28" l="1"/>
  <c r="EY155" i="28"/>
  <c r="EY130" i="28"/>
  <c r="EY147" i="28"/>
  <c r="EY131" i="28"/>
  <c r="EY133" i="28"/>
  <c r="EY156" i="28"/>
  <c r="EY144" i="28"/>
  <c r="EY136" i="28"/>
  <c r="EY134" i="28"/>
  <c r="EY145" i="28"/>
  <c r="EY153" i="28"/>
  <c r="EY138" i="28"/>
  <c r="EY139" i="28"/>
  <c r="EY143" i="28"/>
  <c r="EY150" i="28"/>
  <c r="EY140" i="28"/>
  <c r="EY154" i="28"/>
  <c r="EY146" i="28"/>
  <c r="EY127" i="28"/>
  <c r="EY142" i="28"/>
  <c r="EY137" i="28"/>
  <c r="EY149" i="28"/>
  <c r="EY132" i="28"/>
  <c r="EY129" i="28"/>
  <c r="EY148" i="28"/>
  <c r="EY141" i="28"/>
  <c r="EY151" i="28"/>
  <c r="EY128" i="28"/>
  <c r="BZ11" i="28"/>
  <c r="JC12" i="28"/>
  <c r="JD11" i="28"/>
  <c r="BZ12" i="28" l="1"/>
  <c r="BZ13" i="28" s="1"/>
  <c r="BZ14" i="28" s="1"/>
  <c r="BZ15" i="28" s="1"/>
  <c r="BZ16" i="28" s="1"/>
  <c r="BZ17" i="28" s="1"/>
  <c r="IY12" i="28"/>
  <c r="JG12" i="28"/>
  <c r="JD12" i="28"/>
  <c r="JC13" i="28"/>
  <c r="BZ18" i="28" l="1"/>
  <c r="JD13" i="28"/>
  <c r="JC14" i="28"/>
  <c r="IY13" i="28"/>
  <c r="JG13" i="28"/>
  <c r="BZ19" i="28" l="1"/>
  <c r="JC15" i="28"/>
  <c r="JD14" i="28"/>
  <c r="JG14" i="28"/>
  <c r="IY14" i="28"/>
  <c r="BZ20" i="28" l="1"/>
  <c r="IY15" i="28"/>
  <c r="JG15" i="28"/>
  <c r="JD15" i="28"/>
  <c r="JC16" i="28"/>
  <c r="BZ21" i="28" l="1"/>
  <c r="JD16" i="28"/>
  <c r="JC17" i="28"/>
  <c r="JG16" i="28"/>
  <c r="IY16" i="28"/>
  <c r="BZ22" i="28" l="1"/>
  <c r="JG17" i="28"/>
  <c r="IY17" i="28"/>
  <c r="JD17" i="28"/>
  <c r="JC18" i="28"/>
  <c r="BZ23" i="28" l="1"/>
  <c r="JC19" i="28"/>
  <c r="JD18" i="28"/>
  <c r="JG18" i="28"/>
  <c r="IY18" i="28"/>
  <c r="BZ24" i="28" l="1"/>
  <c r="IY19" i="28"/>
  <c r="JG19" i="28"/>
  <c r="JC20" i="28"/>
  <c r="JD19" i="28"/>
  <c r="BZ25" i="28" l="1"/>
  <c r="JG20" i="28"/>
  <c r="JC21" i="28"/>
  <c r="JD20" i="28"/>
  <c r="BZ26" i="28" l="1"/>
  <c r="JG21" i="28"/>
  <c r="IY21" i="28"/>
  <c r="JD21" i="28"/>
  <c r="JC22" i="28"/>
  <c r="BZ27" i="28" l="1"/>
  <c r="JD22" i="28"/>
  <c r="JC23" i="28"/>
  <c r="JG22" i="28"/>
  <c r="IY22" i="28"/>
  <c r="BZ28" i="28" l="1"/>
  <c r="JC24" i="28"/>
  <c r="JD23" i="28"/>
  <c r="IY23" i="28"/>
  <c r="JG23" i="28"/>
  <c r="BZ29" i="28" l="1"/>
  <c r="IY24" i="28"/>
  <c r="JG24" i="28"/>
  <c r="JC25" i="28"/>
  <c r="JD24" i="28"/>
  <c r="BZ30" i="28" l="1"/>
  <c r="JG25" i="28"/>
  <c r="IY25" i="28"/>
  <c r="JD25" i="28"/>
  <c r="JC26" i="28"/>
  <c r="BZ31" i="28" l="1"/>
  <c r="JC27" i="28"/>
  <c r="JD26" i="28"/>
  <c r="IY26" i="28"/>
  <c r="JG26" i="28"/>
  <c r="BZ32" i="28" l="1"/>
  <c r="JG27" i="28"/>
  <c r="IY27" i="28"/>
  <c r="JD27" i="28"/>
  <c r="JC28" i="28"/>
  <c r="BZ33" i="28" l="1"/>
  <c r="JD28" i="28"/>
  <c r="JC29" i="28"/>
  <c r="IY28" i="28"/>
  <c r="JG28" i="28"/>
  <c r="BZ34" i="28" l="1"/>
  <c r="JD29" i="28"/>
  <c r="JC30" i="28"/>
  <c r="IY29" i="28"/>
  <c r="JG29" i="28"/>
  <c r="BZ35" i="28" l="1"/>
  <c r="JD30" i="28"/>
  <c r="JC31" i="28"/>
  <c r="IY30" i="28"/>
  <c r="JG30" i="28"/>
  <c r="BZ36" i="28" l="1"/>
  <c r="JD31" i="28"/>
  <c r="JC32" i="28"/>
  <c r="JG31" i="28"/>
  <c r="IY31" i="28"/>
  <c r="BZ37" i="28" l="1"/>
  <c r="JD32" i="28"/>
  <c r="JC33" i="28"/>
  <c r="IY32" i="28"/>
  <c r="JG32" i="28"/>
  <c r="BZ38" i="28" l="1"/>
  <c r="JD33" i="28"/>
  <c r="JC34" i="28"/>
  <c r="JG33" i="28"/>
  <c r="IY33" i="28"/>
  <c r="BZ39" i="28" l="1"/>
  <c r="BZ40" i="28" s="1"/>
  <c r="IY34" i="28"/>
  <c r="JG34" i="28"/>
  <c r="JD34" i="28"/>
  <c r="JC35" i="28"/>
  <c r="JC36" i="28" l="1"/>
  <c r="JD35" i="28"/>
  <c r="IY35" i="28"/>
  <c r="JG35" i="28"/>
  <c r="JG36" i="28" l="1"/>
  <c r="IY36" i="28"/>
  <c r="JD36" i="28"/>
  <c r="JC37" i="28"/>
  <c r="IY37" i="28" l="1"/>
  <c r="JG37" i="28"/>
  <c r="JD37" i="28"/>
  <c r="JC38" i="28"/>
  <c r="JC39" i="28" l="1"/>
  <c r="JD38" i="28"/>
  <c r="JG38" i="28"/>
  <c r="IY38" i="28"/>
  <c r="IY40" i="28" l="1"/>
  <c r="JG39" i="28"/>
  <c r="IY39" i="28"/>
  <c r="JC40" i="28"/>
  <c r="JD39" i="28"/>
  <c r="E49" i="18" l="1"/>
  <c r="I49" i="18" s="1"/>
  <c r="D49" i="18"/>
  <c r="H49" i="18" s="1"/>
  <c r="C49" i="18"/>
  <c r="G49" i="18" s="1"/>
  <c r="E44" i="18"/>
  <c r="I44" i="18" s="1"/>
  <c r="D44" i="18"/>
  <c r="H44" i="18" s="1"/>
  <c r="C44" i="18"/>
  <c r="G44" i="18" s="1"/>
  <c r="E39" i="18"/>
  <c r="I39" i="18" s="1"/>
  <c r="D39" i="18"/>
  <c r="H39" i="18" s="1"/>
  <c r="C39" i="18"/>
  <c r="G39" i="18" s="1"/>
  <c r="E34" i="18"/>
  <c r="I34" i="18" s="1"/>
  <c r="D34" i="18"/>
  <c r="H34" i="18" s="1"/>
  <c r="C34" i="18"/>
  <c r="G34" i="18" s="1"/>
  <c r="E29" i="18"/>
  <c r="I29" i="18" s="1"/>
  <c r="D29" i="18"/>
  <c r="H29" i="18" s="1"/>
  <c r="C29" i="18"/>
  <c r="G29" i="18" s="1"/>
  <c r="E24" i="18"/>
  <c r="I24" i="18" s="1"/>
  <c r="D24" i="18"/>
  <c r="H24" i="18" s="1"/>
  <c r="C24" i="18"/>
  <c r="G24" i="18" s="1"/>
  <c r="E19" i="18"/>
  <c r="I19" i="18" s="1"/>
  <c r="D19" i="18"/>
  <c r="H19" i="18" s="1"/>
  <c r="C19" i="18"/>
  <c r="G19" i="18" s="1"/>
  <c r="E14" i="18"/>
  <c r="I14" i="18" s="1"/>
  <c r="D14" i="18"/>
  <c r="H14" i="18" s="1"/>
  <c r="C14" i="18"/>
  <c r="G14" i="18" s="1"/>
  <c r="E9" i="18"/>
  <c r="I9" i="18" s="1"/>
  <c r="D9" i="18"/>
  <c r="H9" i="18" s="1"/>
  <c r="C9" i="18"/>
  <c r="G9" i="18" s="1"/>
  <c r="E49" i="17"/>
  <c r="I49" i="17" s="1"/>
  <c r="D49" i="17"/>
  <c r="H49" i="17" s="1"/>
  <c r="C49" i="17"/>
  <c r="G49" i="17" s="1"/>
  <c r="E44" i="17"/>
  <c r="I44" i="17" s="1"/>
  <c r="D44" i="17"/>
  <c r="H44" i="17" s="1"/>
  <c r="C44" i="17"/>
  <c r="G44" i="17" s="1"/>
  <c r="E39" i="17"/>
  <c r="I39" i="17" s="1"/>
  <c r="D39" i="17"/>
  <c r="H39" i="17" s="1"/>
  <c r="C39" i="17"/>
  <c r="G39" i="17" s="1"/>
  <c r="E34" i="17"/>
  <c r="I34" i="17" s="1"/>
  <c r="D34" i="17"/>
  <c r="H34" i="17" s="1"/>
  <c r="C34" i="17"/>
  <c r="G34" i="17" s="1"/>
  <c r="E29" i="17"/>
  <c r="I29" i="17" s="1"/>
  <c r="D29" i="17"/>
  <c r="H29" i="17" s="1"/>
  <c r="C29" i="17"/>
  <c r="G29" i="17" s="1"/>
  <c r="E24" i="17"/>
  <c r="I24" i="17" s="1"/>
  <c r="D24" i="17"/>
  <c r="H24" i="17" s="1"/>
  <c r="C24" i="17"/>
  <c r="G24" i="17" s="1"/>
  <c r="E19" i="17"/>
  <c r="I19" i="17" s="1"/>
  <c r="D19" i="17"/>
  <c r="H19" i="17" s="1"/>
  <c r="C19" i="17"/>
  <c r="G19" i="17" s="1"/>
  <c r="E14" i="17"/>
  <c r="I14" i="17" s="1"/>
  <c r="D14" i="17"/>
  <c r="H14" i="17" s="1"/>
  <c r="C14" i="17"/>
  <c r="G14" i="17" s="1"/>
  <c r="E9" i="17"/>
  <c r="I9" i="17" s="1"/>
  <c r="D9" i="17"/>
  <c r="H9" i="17" s="1"/>
  <c r="C9" i="17"/>
  <c r="G9" i="17" s="1"/>
  <c r="E49" i="4"/>
  <c r="I49" i="4" s="1"/>
  <c r="D49" i="4"/>
  <c r="H49" i="4" s="1"/>
  <c r="C49" i="4"/>
  <c r="G49" i="4" s="1"/>
  <c r="E44" i="4"/>
  <c r="I44" i="4" s="1"/>
  <c r="D44" i="4"/>
  <c r="H44" i="4" s="1"/>
  <c r="C44" i="4"/>
  <c r="G44" i="4" s="1"/>
  <c r="E39" i="4"/>
  <c r="I39" i="4" s="1"/>
  <c r="D39" i="4"/>
  <c r="H39" i="4" s="1"/>
  <c r="C39" i="4"/>
  <c r="G39" i="4" s="1"/>
  <c r="E34" i="4"/>
  <c r="I34" i="4" s="1"/>
  <c r="D34" i="4"/>
  <c r="H34" i="4" s="1"/>
  <c r="C34" i="4"/>
  <c r="G34" i="4" s="1"/>
  <c r="E29" i="4"/>
  <c r="I29" i="4" s="1"/>
  <c r="D29" i="4"/>
  <c r="H29" i="4" s="1"/>
  <c r="C29" i="4"/>
  <c r="G29" i="4" s="1"/>
  <c r="E24" i="4"/>
  <c r="I24" i="4" s="1"/>
  <c r="D24" i="4"/>
  <c r="H24" i="4" s="1"/>
  <c r="C24" i="4"/>
  <c r="G24" i="4" s="1"/>
  <c r="E19" i="4"/>
  <c r="I19" i="4" s="1"/>
  <c r="D19" i="4"/>
  <c r="H19" i="4" s="1"/>
  <c r="C19" i="4"/>
  <c r="G19" i="4" s="1"/>
  <c r="E14" i="4"/>
  <c r="I14" i="4" s="1"/>
  <c r="D14" i="4"/>
  <c r="H14" i="4" s="1"/>
  <c r="C14" i="4"/>
  <c r="G14" i="4" s="1"/>
  <c r="E9" i="4"/>
  <c r="I9" i="4" s="1"/>
  <c r="D9" i="4"/>
  <c r="H9" i="4" s="1"/>
  <c r="C9" i="4"/>
  <c r="G9" i="4" s="1"/>
  <c r="E49" i="2"/>
  <c r="I49" i="2" s="1"/>
  <c r="D49" i="2"/>
  <c r="H49" i="2" s="1"/>
  <c r="C49" i="2"/>
  <c r="G49" i="2" s="1"/>
  <c r="E44" i="2"/>
  <c r="I44" i="2" s="1"/>
  <c r="D44" i="2"/>
  <c r="H44" i="2" s="1"/>
  <c r="C44" i="2"/>
  <c r="G44" i="2" s="1"/>
  <c r="E39" i="2"/>
  <c r="I39" i="2" s="1"/>
  <c r="D39" i="2"/>
  <c r="H39" i="2" s="1"/>
  <c r="C39" i="2"/>
  <c r="G39" i="2" s="1"/>
  <c r="E34" i="2"/>
  <c r="I34" i="2" s="1"/>
  <c r="D34" i="2"/>
  <c r="H34" i="2" s="1"/>
  <c r="C34" i="2"/>
  <c r="G34" i="2" s="1"/>
  <c r="E29" i="2"/>
  <c r="I29" i="2" s="1"/>
  <c r="D29" i="2"/>
  <c r="H29" i="2" s="1"/>
  <c r="C29" i="2"/>
  <c r="G29" i="2" s="1"/>
  <c r="E24" i="2"/>
  <c r="I24" i="2" s="1"/>
  <c r="D24" i="2"/>
  <c r="H24" i="2" s="1"/>
  <c r="C24" i="2"/>
  <c r="G24" i="2" s="1"/>
  <c r="E19" i="2"/>
  <c r="I19" i="2" s="1"/>
  <c r="D19" i="2"/>
  <c r="H19" i="2" s="1"/>
  <c r="C19" i="2"/>
  <c r="G19" i="2" s="1"/>
  <c r="E14" i="2"/>
  <c r="I14" i="2" s="1"/>
  <c r="D14" i="2"/>
  <c r="H14" i="2" s="1"/>
  <c r="C14" i="2"/>
  <c r="G14" i="2" s="1"/>
  <c r="E9" i="2"/>
  <c r="I9" i="2" s="1"/>
  <c r="D9" i="2"/>
  <c r="H9" i="2" s="1"/>
  <c r="C9" i="2"/>
  <c r="G9" i="2" s="1"/>
  <c r="BV9" i="20"/>
  <c r="BT9" i="20"/>
  <c r="BR9" i="20"/>
  <c r="BP9" i="20"/>
  <c r="BN9" i="20"/>
  <c r="BL9" i="20"/>
  <c r="BJ9" i="20"/>
  <c r="BH9" i="20"/>
  <c r="BF9" i="20"/>
  <c r="BD9" i="20"/>
  <c r="BB9" i="20"/>
  <c r="AZ9" i="20"/>
  <c r="IL5" i="20"/>
  <c r="IM5" i="20" s="1"/>
  <c r="IN5" i="20" s="1"/>
  <c r="IO5" i="20" s="1"/>
  <c r="IP5" i="20" s="1"/>
  <c r="IQ5" i="20" s="1"/>
  <c r="IR5" i="20" s="1"/>
  <c r="IS5" i="20" s="1"/>
  <c r="IT5" i="20" s="1"/>
  <c r="IU5" i="20" s="1"/>
  <c r="IV5" i="20" s="1"/>
  <c r="IW5" i="20" s="1"/>
  <c r="HW5" i="20"/>
  <c r="HX5" i="20" s="1"/>
  <c r="HY5" i="20" s="1"/>
  <c r="HZ5" i="20" s="1"/>
  <c r="IA5" i="20" s="1"/>
  <c r="IB5" i="20" s="1"/>
  <c r="IC5" i="20" s="1"/>
  <c r="ID5" i="20" s="1"/>
  <c r="IE5" i="20" s="1"/>
  <c r="IF5" i="20" s="1"/>
  <c r="IG5" i="20" s="1"/>
  <c r="IH5" i="20" s="1"/>
  <c r="HH5" i="20"/>
  <c r="HI5" i="20" s="1"/>
  <c r="HJ5" i="20" s="1"/>
  <c r="HK5" i="20" s="1"/>
  <c r="HL5" i="20" s="1"/>
  <c r="HM5" i="20" s="1"/>
  <c r="HN5" i="20" s="1"/>
  <c r="HO5" i="20" s="1"/>
  <c r="HP5" i="20" s="1"/>
  <c r="HQ5" i="20" s="1"/>
  <c r="HR5" i="20" s="1"/>
  <c r="HS5" i="20" s="1"/>
  <c r="GS5" i="20"/>
  <c r="GT5" i="20" s="1"/>
  <c r="GU5" i="20" s="1"/>
  <c r="GV5" i="20" s="1"/>
  <c r="GW5" i="20" s="1"/>
  <c r="GX5" i="20" s="1"/>
  <c r="GY5" i="20" s="1"/>
  <c r="GZ5" i="20" s="1"/>
  <c r="HA5" i="20" s="1"/>
  <c r="HB5" i="20" s="1"/>
  <c r="HC5" i="20" s="1"/>
  <c r="HD5" i="20" s="1"/>
  <c r="GD5" i="20"/>
  <c r="GE5" i="20" s="1"/>
  <c r="GF5" i="20" s="1"/>
  <c r="GG5" i="20" s="1"/>
  <c r="GH5" i="20" s="1"/>
  <c r="GI5" i="20" s="1"/>
  <c r="GJ5" i="20" s="1"/>
  <c r="GK5" i="20" s="1"/>
  <c r="GL5" i="20" s="1"/>
  <c r="GM5" i="20" s="1"/>
  <c r="GN5" i="20" s="1"/>
  <c r="GO5" i="20" s="1"/>
  <c r="FO5" i="20"/>
  <c r="FP5" i="20" s="1"/>
  <c r="FQ5" i="20" s="1"/>
  <c r="FR5" i="20" s="1"/>
  <c r="FS5" i="20" s="1"/>
  <c r="FT5" i="20" s="1"/>
  <c r="FU5" i="20" s="1"/>
  <c r="FV5" i="20" s="1"/>
  <c r="FW5" i="20" s="1"/>
  <c r="FX5" i="20" s="1"/>
  <c r="FY5" i="20" s="1"/>
  <c r="FZ5" i="20" s="1"/>
  <c r="EZ5" i="20"/>
  <c r="FA5" i="20" s="1"/>
  <c r="FB5" i="20" s="1"/>
  <c r="FC5" i="20" s="1"/>
  <c r="FD5" i="20" s="1"/>
  <c r="FE5" i="20" s="1"/>
  <c r="FF5" i="20" s="1"/>
  <c r="FG5" i="20" s="1"/>
  <c r="FH5" i="20" s="1"/>
  <c r="FI5" i="20" s="1"/>
  <c r="FJ5" i="20" s="1"/>
  <c r="FK5" i="20" s="1"/>
  <c r="A6" i="20" l="1"/>
  <c r="M8" i="20" s="1"/>
  <c r="IY40" i="20"/>
  <c r="IY39" i="20"/>
  <c r="IY38" i="20"/>
  <c r="IY37" i="20"/>
  <c r="IY36" i="20"/>
  <c r="IY35" i="20"/>
  <c r="IY34" i="20"/>
  <c r="IY33" i="20"/>
  <c r="IY32" i="20"/>
  <c r="IY31" i="20"/>
  <c r="IY30" i="20"/>
  <c r="IY29" i="20"/>
  <c r="IY28" i="20"/>
  <c r="IY27" i="20"/>
  <c r="IY26" i="20"/>
  <c r="IY25" i="20"/>
  <c r="IY24" i="20"/>
  <c r="IY23" i="20"/>
  <c r="IY22" i="20"/>
  <c r="IY21" i="20"/>
  <c r="IY20" i="20"/>
  <c r="IY19" i="20"/>
  <c r="IY18" i="20"/>
  <c r="IY17" i="20"/>
  <c r="IY16" i="20"/>
  <c r="IY15" i="20"/>
  <c r="IY14" i="20"/>
  <c r="IY13" i="20"/>
  <c r="IY12" i="20"/>
  <c r="IY11" i="20"/>
  <c r="IY10" i="20"/>
  <c r="M9" i="20" l="1"/>
  <c r="M6" i="20"/>
  <c r="M10" i="20" l="1"/>
  <c r="IM7" i="20"/>
  <c r="HX7" i="20"/>
  <c r="HI7" i="20"/>
  <c r="GT7" i="20"/>
  <c r="GE7" i="20"/>
  <c r="FP7" i="20"/>
  <c r="FA7" i="20"/>
  <c r="A3" i="20"/>
  <c r="EZ1" i="20" l="1"/>
  <c r="FA1" i="20" s="1"/>
  <c r="FB1" i="20" s="1"/>
  <c r="FC1" i="20" s="1"/>
  <c r="FB40" i="20"/>
  <c r="IK13" i="20"/>
  <c r="IK21" i="20"/>
  <c r="IK29" i="20"/>
  <c r="IK37" i="20"/>
  <c r="HV17" i="20"/>
  <c r="HV25" i="20"/>
  <c r="HV33" i="20"/>
  <c r="HV11" i="20"/>
  <c r="HG13" i="20"/>
  <c r="HG21" i="20"/>
  <c r="HG29" i="20"/>
  <c r="HG37" i="20"/>
  <c r="GR17" i="20"/>
  <c r="GR25" i="20"/>
  <c r="GR33" i="20"/>
  <c r="GR11" i="20"/>
  <c r="GC13" i="20"/>
  <c r="GC21" i="20"/>
  <c r="GC29" i="20"/>
  <c r="GC37" i="20"/>
  <c r="FN18" i="20"/>
  <c r="FN26" i="20"/>
  <c r="FN34" i="20"/>
  <c r="EY13" i="20"/>
  <c r="EY129" i="20" s="1"/>
  <c r="EY21" i="20"/>
  <c r="EY137" i="20" s="1"/>
  <c r="EY29" i="20"/>
  <c r="EY145" i="20" s="1"/>
  <c r="EY37" i="20"/>
  <c r="EY153" i="20" s="1"/>
  <c r="GC22" i="20"/>
  <c r="GC38" i="20"/>
  <c r="FN19" i="20"/>
  <c r="FN35" i="20"/>
  <c r="EY14" i="20"/>
  <c r="EY130" i="20" s="1"/>
  <c r="EY30" i="20"/>
  <c r="EY146" i="20" s="1"/>
  <c r="EY38" i="20"/>
  <c r="EY154" i="20" s="1"/>
  <c r="IK14" i="20"/>
  <c r="IK22" i="20"/>
  <c r="IK30" i="20"/>
  <c r="IK38" i="20"/>
  <c r="HV18" i="20"/>
  <c r="HV26" i="20"/>
  <c r="HV34" i="20"/>
  <c r="HG14" i="20"/>
  <c r="HG22" i="20"/>
  <c r="HG30" i="20"/>
  <c r="HG38" i="20"/>
  <c r="GR18" i="20"/>
  <c r="GR26" i="20"/>
  <c r="GR34" i="20"/>
  <c r="GC14" i="20"/>
  <c r="GC30" i="20"/>
  <c r="FN27" i="20"/>
  <c r="EY22" i="20"/>
  <c r="EY138" i="20" s="1"/>
  <c r="IK15" i="20"/>
  <c r="IK23" i="20"/>
  <c r="IK31" i="20"/>
  <c r="IK39" i="20"/>
  <c r="HV19" i="20"/>
  <c r="HV27" i="20"/>
  <c r="HV35" i="20"/>
  <c r="HG15" i="20"/>
  <c r="HG23" i="20"/>
  <c r="HG31" i="20"/>
  <c r="HG39" i="20"/>
  <c r="GR19" i="20"/>
  <c r="GR27" i="20"/>
  <c r="GR35" i="20"/>
  <c r="GC15" i="20"/>
  <c r="GC23" i="20"/>
  <c r="GC31" i="20"/>
  <c r="GC39" i="20"/>
  <c r="FN12" i="20"/>
  <c r="FN20" i="20"/>
  <c r="FN28" i="20"/>
  <c r="FN36" i="20"/>
  <c r="EY15" i="20"/>
  <c r="EY131" i="20" s="1"/>
  <c r="EY23" i="20"/>
  <c r="EY139" i="20" s="1"/>
  <c r="EY31" i="20"/>
  <c r="EY147" i="20" s="1"/>
  <c r="EY39" i="20"/>
  <c r="EY155" i="20" s="1"/>
  <c r="IK16" i="20"/>
  <c r="IK24" i="20"/>
  <c r="IK32" i="20"/>
  <c r="IK40" i="20"/>
  <c r="HV12" i="20"/>
  <c r="HV20" i="20"/>
  <c r="HV28" i="20"/>
  <c r="HV36" i="20"/>
  <c r="HG16" i="20"/>
  <c r="HG24" i="20"/>
  <c r="HG32" i="20"/>
  <c r="HG40" i="20"/>
  <c r="GR12" i="20"/>
  <c r="GR20" i="20"/>
  <c r="GR28" i="20"/>
  <c r="GR36" i="20"/>
  <c r="GC16" i="20"/>
  <c r="GC24" i="20"/>
  <c r="GC32" i="20"/>
  <c r="GC40" i="20"/>
  <c r="FN13" i="20"/>
  <c r="FN21" i="20"/>
  <c r="FN29" i="20"/>
  <c r="FN37" i="20"/>
  <c r="EY16" i="20"/>
  <c r="EY132" i="20" s="1"/>
  <c r="EY24" i="20"/>
  <c r="EY140" i="20" s="1"/>
  <c r="EY32" i="20"/>
  <c r="EY148" i="20" s="1"/>
  <c r="EY40" i="20"/>
  <c r="EY156" i="20" s="1"/>
  <c r="IK28" i="20"/>
  <c r="HV16" i="20"/>
  <c r="HV32" i="20"/>
  <c r="HG20" i="20"/>
  <c r="HG36" i="20"/>
  <c r="GR24" i="20"/>
  <c r="GR40" i="20"/>
  <c r="GC20" i="20"/>
  <c r="GC36" i="20"/>
  <c r="FN25" i="20"/>
  <c r="FN11" i="20"/>
  <c r="EY12" i="20"/>
  <c r="EY128" i="20" s="1"/>
  <c r="EY20" i="20"/>
  <c r="EY136" i="20" s="1"/>
  <c r="IK17" i="20"/>
  <c r="IK25" i="20"/>
  <c r="IK33" i="20"/>
  <c r="IK11" i="20"/>
  <c r="HV13" i="20"/>
  <c r="HV21" i="20"/>
  <c r="HV29" i="20"/>
  <c r="HV37" i="20"/>
  <c r="HG17" i="20"/>
  <c r="HG25" i="20"/>
  <c r="HG33" i="20"/>
  <c r="HG11" i="20"/>
  <c r="GR13" i="20"/>
  <c r="GR21" i="20"/>
  <c r="GR29" i="20"/>
  <c r="GR37" i="20"/>
  <c r="GC17" i="20"/>
  <c r="GC25" i="20"/>
  <c r="GC33" i="20"/>
  <c r="GC11" i="20"/>
  <c r="FN14" i="20"/>
  <c r="FN22" i="20"/>
  <c r="FN30" i="20"/>
  <c r="FN38" i="20"/>
  <c r="EY17" i="20"/>
  <c r="EY133" i="20" s="1"/>
  <c r="EY25" i="20"/>
  <c r="EY141" i="20" s="1"/>
  <c r="EY33" i="20"/>
  <c r="EY149" i="20" s="1"/>
  <c r="EY11" i="20"/>
  <c r="EY127" i="20" s="1"/>
  <c r="IK12" i="20"/>
  <c r="IK36" i="20"/>
  <c r="HV24" i="20"/>
  <c r="HG12" i="20"/>
  <c r="GR16" i="20"/>
  <c r="GC12" i="20"/>
  <c r="FN17" i="20"/>
  <c r="EY36" i="20"/>
  <c r="EY152" i="20" s="1"/>
  <c r="IK18" i="20"/>
  <c r="IK26" i="20"/>
  <c r="IK34" i="20"/>
  <c r="HV14" i="20"/>
  <c r="HV22" i="20"/>
  <c r="HV30" i="20"/>
  <c r="HV38" i="20"/>
  <c r="HG18" i="20"/>
  <c r="HG26" i="20"/>
  <c r="HG34" i="20"/>
  <c r="GR14" i="20"/>
  <c r="GR22" i="20"/>
  <c r="GR30" i="20"/>
  <c r="GR38" i="20"/>
  <c r="GC18" i="20"/>
  <c r="GC26" i="20"/>
  <c r="GC34" i="20"/>
  <c r="FN15" i="20"/>
  <c r="FN23" i="20"/>
  <c r="FN31" i="20"/>
  <c r="FN39" i="20"/>
  <c r="EY18" i="20"/>
  <c r="EY134" i="20" s="1"/>
  <c r="EY26" i="20"/>
  <c r="EY142" i="20" s="1"/>
  <c r="EY34" i="20"/>
  <c r="EY150" i="20" s="1"/>
  <c r="GR32" i="20"/>
  <c r="IK19" i="20"/>
  <c r="IK27" i="20"/>
  <c r="IK35" i="20"/>
  <c r="HV15" i="20"/>
  <c r="HV23" i="20"/>
  <c r="HV31" i="20"/>
  <c r="HV39" i="20"/>
  <c r="HG19" i="20"/>
  <c r="HG27" i="20"/>
  <c r="HG35" i="20"/>
  <c r="GR15" i="20"/>
  <c r="GR23" i="20"/>
  <c r="GR31" i="20"/>
  <c r="GR39" i="20"/>
  <c r="GC19" i="20"/>
  <c r="GC27" i="20"/>
  <c r="GC35" i="20"/>
  <c r="FN16" i="20"/>
  <c r="FN24" i="20"/>
  <c r="FN32" i="20"/>
  <c r="FN40" i="20"/>
  <c r="FA10" i="20"/>
  <c r="JF10" i="20" s="1"/>
  <c r="JG10" i="20" s="1"/>
  <c r="EY19" i="20"/>
  <c r="EY135" i="20" s="1"/>
  <c r="EY27" i="20"/>
  <c r="EY143" i="20" s="1"/>
  <c r="EY35" i="20"/>
  <c r="EY151" i="20" s="1"/>
  <c r="IK20" i="20"/>
  <c r="HV40" i="20"/>
  <c r="HG28" i="20"/>
  <c r="GC28" i="20"/>
  <c r="FN33" i="20"/>
  <c r="EY28" i="20"/>
  <c r="EY144" i="20" s="1"/>
  <c r="HX10" i="20"/>
  <c r="HH10" i="20"/>
  <c r="HV10" i="20"/>
  <c r="IK8" i="20"/>
  <c r="IK9" i="20" s="1"/>
  <c r="IM9" i="20" s="1"/>
  <c r="HI10" i="20"/>
  <c r="IM10" i="20"/>
  <c r="HG8" i="20"/>
  <c r="HG10" i="20"/>
  <c r="HV8" i="20"/>
  <c r="HW10" i="20"/>
  <c r="IK10" i="20"/>
  <c r="JB10" i="20" s="1"/>
  <c r="IL10" i="20"/>
  <c r="GT10" i="20"/>
  <c r="GR10" i="20"/>
  <c r="GR8" i="20"/>
  <c r="GS10" i="20"/>
  <c r="GC8" i="20"/>
  <c r="GE8" i="20" s="1"/>
  <c r="FP10" i="20"/>
  <c r="JH10" i="20" s="1"/>
  <c r="JI10" i="20" s="1"/>
  <c r="GD10" i="20"/>
  <c r="GC10" i="20"/>
  <c r="GE10" i="20"/>
  <c r="FO10" i="20"/>
  <c r="FN8" i="20"/>
  <c r="FP8" i="20" s="1"/>
  <c r="FN10" i="20"/>
  <c r="EZ10" i="20"/>
  <c r="EY8" i="20"/>
  <c r="EY124" i="20" s="1"/>
  <c r="EY10" i="20"/>
  <c r="EY126" i="20" s="1"/>
  <c r="FB24" i="20"/>
  <c r="FB23" i="20"/>
  <c r="FB25" i="20"/>
  <c r="FB31" i="20"/>
  <c r="FB32" i="20"/>
  <c r="FB15" i="20"/>
  <c r="FB33" i="20"/>
  <c r="FB16" i="20"/>
  <c r="FB39" i="20"/>
  <c r="FB17" i="20"/>
  <c r="FB18" i="20"/>
  <c r="FB26" i="20"/>
  <c r="FB34" i="20"/>
  <c r="FB11" i="20"/>
  <c r="FB19" i="20"/>
  <c r="FB27" i="20"/>
  <c r="FB35" i="20"/>
  <c r="FB12" i="20"/>
  <c r="FB20" i="20"/>
  <c r="FB28" i="20"/>
  <c r="FB36" i="20"/>
  <c r="FB13" i="20"/>
  <c r="FB21" i="20"/>
  <c r="FB29" i="20"/>
  <c r="FB37" i="20"/>
  <c r="FB14" i="20"/>
  <c r="FB22" i="20"/>
  <c r="FB30" i="20"/>
  <c r="FB38" i="20"/>
  <c r="BW44" i="20"/>
  <c r="BS44" i="20"/>
  <c r="BO44" i="20"/>
  <c r="BK44" i="20"/>
  <c r="BG44" i="20"/>
  <c r="BC44" i="20"/>
  <c r="BV6" i="20"/>
  <c r="BR6" i="20"/>
  <c r="BN6" i="20"/>
  <c r="BJ6" i="20"/>
  <c r="BF6" i="20"/>
  <c r="BB6" i="20"/>
  <c r="BT6" i="20"/>
  <c r="BP6" i="20"/>
  <c r="BL6" i="20"/>
  <c r="BH6" i="20"/>
  <c r="BD6" i="20"/>
  <c r="AZ6" i="20"/>
  <c r="FD1" i="20" l="1"/>
  <c r="FD126" i="20" s="1"/>
  <c r="FC122" i="20"/>
  <c r="IZ10" i="20"/>
  <c r="JD10" i="20"/>
  <c r="JC10" i="20"/>
  <c r="JB11" i="20"/>
  <c r="FB126" i="20"/>
  <c r="FB125" i="20"/>
  <c r="FB124" i="20"/>
  <c r="FB123" i="20"/>
  <c r="FC126" i="20"/>
  <c r="FC125" i="20"/>
  <c r="FC124" i="20"/>
  <c r="FC123" i="20"/>
  <c r="EZ152" i="20"/>
  <c r="EZ144" i="20"/>
  <c r="EZ136" i="20"/>
  <c r="EZ155" i="20"/>
  <c r="EZ147" i="20"/>
  <c r="EZ139" i="20"/>
  <c r="EZ131" i="20"/>
  <c r="EZ150" i="20"/>
  <c r="EZ142" i="20"/>
  <c r="EZ134" i="20"/>
  <c r="EZ153" i="20"/>
  <c r="EZ145" i="20"/>
  <c r="EZ137" i="20"/>
  <c r="EZ129" i="20"/>
  <c r="EZ135" i="20"/>
  <c r="EZ133" i="20"/>
  <c r="EZ156" i="20"/>
  <c r="EZ148" i="20"/>
  <c r="EZ140" i="20"/>
  <c r="EZ132" i="20"/>
  <c r="EZ151" i="20"/>
  <c r="EZ143" i="20"/>
  <c r="EZ154" i="20"/>
  <c r="EZ146" i="20"/>
  <c r="EZ138" i="20"/>
  <c r="EZ130" i="20"/>
  <c r="EZ149" i="20"/>
  <c r="EZ141" i="20"/>
  <c r="EZ126" i="20"/>
  <c r="EZ125" i="20"/>
  <c r="EZ124" i="20"/>
  <c r="EZ123" i="20"/>
  <c r="EZ128" i="20"/>
  <c r="EZ127" i="20"/>
  <c r="FA126" i="20"/>
  <c r="FA123" i="20"/>
  <c r="JR10" i="20"/>
  <c r="JS10" i="20" s="1"/>
  <c r="JS40" i="20"/>
  <c r="JL10" i="20"/>
  <c r="JM10" i="20" s="1"/>
  <c r="JM40" i="20"/>
  <c r="JN10" i="20"/>
  <c r="JO10" i="20" s="1"/>
  <c r="JO40" i="20"/>
  <c r="JK40" i="20"/>
  <c r="JJ10" i="20"/>
  <c r="JK10" i="20" s="1"/>
  <c r="JA10" i="20" s="1"/>
  <c r="JP10" i="20"/>
  <c r="JQ10" i="20" s="1"/>
  <c r="JQ40" i="20"/>
  <c r="IM8" i="20"/>
  <c r="HG9" i="20"/>
  <c r="HI9" i="20" s="1"/>
  <c r="HI8" i="20"/>
  <c r="HV9" i="20"/>
  <c r="HX9" i="20" s="1"/>
  <c r="HX8" i="20"/>
  <c r="GR9" i="20"/>
  <c r="GT9" i="20" s="1"/>
  <c r="GT8" i="20"/>
  <c r="GC9" i="20"/>
  <c r="GE9" i="20" s="1"/>
  <c r="FN9" i="20"/>
  <c r="FP9" i="20" s="1"/>
  <c r="EY9" i="20"/>
  <c r="FA8" i="20"/>
  <c r="FA124" i="20" s="1"/>
  <c r="FA9" i="20" l="1"/>
  <c r="EY125" i="20"/>
  <c r="FA125" i="20"/>
  <c r="FD123" i="20"/>
  <c r="FD125" i="20"/>
  <c r="FD124" i="20"/>
  <c r="FE1" i="20"/>
  <c r="FD122" i="20"/>
  <c r="JB12" i="20"/>
  <c r="JC11" i="20"/>
  <c r="JE10" i="20"/>
  <c r="JD42" i="20"/>
  <c r="JD11" i="20"/>
  <c r="BU9" i="20"/>
  <c r="BQ9" i="20"/>
  <c r="BM9" i="20"/>
  <c r="BI9" i="20"/>
  <c r="BE9" i="20"/>
  <c r="BU6" i="20"/>
  <c r="BQ6" i="20"/>
  <c r="BM6" i="20"/>
  <c r="BI6" i="20"/>
  <c r="BE6" i="20"/>
  <c r="A40" i="20"/>
  <c r="BA9" i="20"/>
  <c r="BA6" i="20"/>
  <c r="AY9" i="20"/>
  <c r="AY6" i="20"/>
  <c r="AU9" i="20"/>
  <c r="AS9" i="20"/>
  <c r="AR9" i="20"/>
  <c r="AU6" i="20"/>
  <c r="AS6" i="20"/>
  <c r="AR6" i="20"/>
  <c r="AQ9" i="20"/>
  <c r="AQ6" i="20"/>
  <c r="AP9" i="20"/>
  <c r="AP6" i="20"/>
  <c r="A50" i="20"/>
  <c r="A44" i="20"/>
  <c r="A38" i="20"/>
  <c r="A31" i="20"/>
  <c r="A25" i="20"/>
  <c r="A22" i="20"/>
  <c r="A19" i="20"/>
  <c r="A16" i="20"/>
  <c r="A11" i="20"/>
  <c r="A9" i="20"/>
  <c r="E52" i="13"/>
  <c r="E51" i="13"/>
  <c r="E50" i="13"/>
  <c r="E49" i="13"/>
  <c r="D52" i="13"/>
  <c r="D51" i="13"/>
  <c r="D50" i="13"/>
  <c r="D49" i="13"/>
  <c r="D48" i="13"/>
  <c r="D47" i="13"/>
  <c r="D46" i="13"/>
  <c r="D45" i="13"/>
  <c r="D44" i="13"/>
  <c r="D43" i="13"/>
  <c r="D42" i="13"/>
  <c r="D41" i="13"/>
  <c r="D40" i="13"/>
  <c r="D39" i="13"/>
  <c r="D38" i="13"/>
  <c r="D37" i="13"/>
  <c r="Y19" i="11"/>
  <c r="AK19" i="11" s="1"/>
  <c r="X19" i="11"/>
  <c r="AJ19" i="11" s="1"/>
  <c r="W19" i="11"/>
  <c r="AI19" i="11" s="1"/>
  <c r="U19" i="11"/>
  <c r="AG19" i="11" s="1"/>
  <c r="T19" i="11"/>
  <c r="AF19" i="11" s="1"/>
  <c r="S19" i="11"/>
  <c r="AE19" i="11" s="1"/>
  <c r="Q19" i="11"/>
  <c r="AC19" i="11" s="1"/>
  <c r="P19" i="11"/>
  <c r="AB19" i="11" s="1"/>
  <c r="O19" i="11"/>
  <c r="AA19" i="11" s="1"/>
  <c r="M19" i="11"/>
  <c r="L19" i="11"/>
  <c r="K19" i="11"/>
  <c r="I19" i="11"/>
  <c r="H19" i="11"/>
  <c r="G19" i="11"/>
  <c r="E19" i="11"/>
  <c r="D19" i="11"/>
  <c r="C19" i="11"/>
  <c r="M14" i="11"/>
  <c r="L14" i="11"/>
  <c r="K14" i="11"/>
  <c r="M13" i="11"/>
  <c r="L13" i="11"/>
  <c r="K13" i="11"/>
  <c r="I14" i="11"/>
  <c r="H14" i="11"/>
  <c r="G14" i="11"/>
  <c r="I13" i="11"/>
  <c r="H13" i="11"/>
  <c r="G13" i="11"/>
  <c r="E14" i="11"/>
  <c r="D14" i="11"/>
  <c r="E13" i="11"/>
  <c r="D13" i="11"/>
  <c r="C14" i="11"/>
  <c r="C13" i="11"/>
  <c r="Y14" i="11"/>
  <c r="X14" i="11"/>
  <c r="W14" i="11"/>
  <c r="U14" i="11"/>
  <c r="T14" i="11"/>
  <c r="S14" i="11"/>
  <c r="Q14" i="11"/>
  <c r="P14" i="11"/>
  <c r="O14" i="11"/>
  <c r="Y13" i="11"/>
  <c r="X13" i="11"/>
  <c r="W13" i="11"/>
  <c r="U13" i="11"/>
  <c r="T13" i="11"/>
  <c r="S13" i="11"/>
  <c r="Q13" i="11"/>
  <c r="P13" i="11"/>
  <c r="O13" i="11"/>
  <c r="Y12" i="11"/>
  <c r="X12" i="11"/>
  <c r="W12" i="11"/>
  <c r="U12" i="11"/>
  <c r="T12" i="11"/>
  <c r="S12" i="11"/>
  <c r="Q12" i="11"/>
  <c r="P12" i="11"/>
  <c r="O12" i="11"/>
  <c r="M12" i="11"/>
  <c r="L12" i="11"/>
  <c r="K12" i="11"/>
  <c r="I12" i="11"/>
  <c r="H12" i="11"/>
  <c r="G12" i="11"/>
  <c r="E12" i="11"/>
  <c r="D12" i="11"/>
  <c r="C12" i="11"/>
  <c r="J33" i="20" l="1" a="1"/>
  <c r="J33" i="20" s="1"/>
  <c r="I33" i="20" a="1"/>
  <c r="I33" i="20" s="1"/>
  <c r="H33" i="20" a="1"/>
  <c r="H33" i="20" s="1"/>
  <c r="J32" i="20" a="1"/>
  <c r="J32" i="20" s="1"/>
  <c r="H32" i="20" a="1"/>
  <c r="H32" i="20" s="1"/>
  <c r="I32" i="20" a="1"/>
  <c r="I32" i="20" s="1"/>
  <c r="AS12" i="20"/>
  <c r="AQ12" i="20"/>
  <c r="FF1" i="20"/>
  <c r="FE123" i="20"/>
  <c r="FE126" i="20"/>
  <c r="FE125" i="20"/>
  <c r="FE124" i="20"/>
  <c r="JB13" i="20"/>
  <c r="JC12" i="20"/>
  <c r="JE11" i="20"/>
  <c r="IX11" i="20"/>
  <c r="JD12" i="20"/>
  <c r="EA36" i="20"/>
  <c r="EA28" i="20"/>
  <c r="EA20" i="20"/>
  <c r="EA12" i="20"/>
  <c r="EA35" i="20"/>
  <c r="EA27" i="20"/>
  <c r="EA19" i="20"/>
  <c r="EA11" i="20"/>
  <c r="EA34" i="20"/>
  <c r="EA26" i="20"/>
  <c r="EA18" i="20"/>
  <c r="EA32" i="20"/>
  <c r="EA21" i="20"/>
  <c r="CM38" i="20"/>
  <c r="CM30" i="20"/>
  <c r="CM22" i="20"/>
  <c r="CM14" i="20"/>
  <c r="CM29" i="20"/>
  <c r="CM21" i="20"/>
  <c r="EA31" i="20"/>
  <c r="EA17" i="20"/>
  <c r="CM37" i="20"/>
  <c r="CM13" i="20"/>
  <c r="CM26" i="20"/>
  <c r="CM33" i="20"/>
  <c r="EA23" i="20"/>
  <c r="EA30" i="20"/>
  <c r="EA16" i="20"/>
  <c r="CM36" i="20"/>
  <c r="CM28" i="20"/>
  <c r="CM20" i="20"/>
  <c r="CM12" i="20"/>
  <c r="CM18" i="20"/>
  <c r="EA13" i="20"/>
  <c r="EA40" i="20"/>
  <c r="EA29" i="20"/>
  <c r="EA15" i="20"/>
  <c r="CM35" i="20"/>
  <c r="CM27" i="20"/>
  <c r="CM19" i="20"/>
  <c r="CM11" i="20"/>
  <c r="CM17" i="20"/>
  <c r="EA37" i="20"/>
  <c r="EA39" i="20"/>
  <c r="EA25" i="20"/>
  <c r="EA14" i="20"/>
  <c r="CM34" i="20"/>
  <c r="EA24" i="20"/>
  <c r="EA38" i="20"/>
  <c r="CM25" i="20"/>
  <c r="EA22" i="20"/>
  <c r="CM24" i="20"/>
  <c r="CM23" i="20"/>
  <c r="CM16" i="20"/>
  <c r="CM15" i="20"/>
  <c r="CM39" i="20"/>
  <c r="CM40" i="20"/>
  <c r="CM32" i="20"/>
  <c r="EA33" i="20"/>
  <c r="CM31" i="20"/>
  <c r="AS11" i="20"/>
  <c r="AQ11" i="20"/>
  <c r="ED36" i="20"/>
  <c r="ED35" i="20"/>
  <c r="ED39" i="20"/>
  <c r="ED31" i="20"/>
  <c r="ED23" i="20"/>
  <c r="ED15" i="20"/>
  <c r="ED40" i="20"/>
  <c r="ED28" i="20"/>
  <c r="ED19" i="20"/>
  <c r="ED38" i="20"/>
  <c r="ED27" i="20"/>
  <c r="ED18" i="20"/>
  <c r="ED25" i="20"/>
  <c r="ED29" i="20"/>
  <c r="ED37" i="20"/>
  <c r="ED26" i="20"/>
  <c r="ED17" i="20"/>
  <c r="ED16" i="20"/>
  <c r="ED34" i="20"/>
  <c r="ED33" i="20"/>
  <c r="ED24" i="20"/>
  <c r="ED14" i="20"/>
  <c r="ED32" i="20"/>
  <c r="ED22" i="20"/>
  <c r="ED13" i="20"/>
  <c r="ED11" i="20"/>
  <c r="ED30" i="20"/>
  <c r="ED21" i="20"/>
  <c r="ED12" i="20"/>
  <c r="ED20" i="20"/>
  <c r="J3" i="20"/>
  <c r="IN40" i="20"/>
  <c r="IN33" i="20"/>
  <c r="IN26" i="20"/>
  <c r="IN20" i="20"/>
  <c r="IN14" i="20"/>
  <c r="FQ40" i="20"/>
  <c r="GF39" i="20"/>
  <c r="FQ37" i="20"/>
  <c r="GF36" i="20"/>
  <c r="FQ34" i="20"/>
  <c r="IN39" i="20"/>
  <c r="IN32" i="20"/>
  <c r="IN19" i="20"/>
  <c r="HJ40" i="20"/>
  <c r="GU38" i="20"/>
  <c r="HJ37" i="20"/>
  <c r="GU35" i="20"/>
  <c r="HJ34" i="20"/>
  <c r="IN38" i="20"/>
  <c r="IN31" i="20"/>
  <c r="IN25" i="20"/>
  <c r="IN18" i="20"/>
  <c r="IN13" i="20"/>
  <c r="HY39" i="20"/>
  <c r="FQ39" i="20"/>
  <c r="HY36" i="20"/>
  <c r="FQ36" i="20"/>
  <c r="HY33" i="20"/>
  <c r="IN36" i="20"/>
  <c r="IN23" i="20"/>
  <c r="IN17" i="20"/>
  <c r="IN11" i="20"/>
  <c r="GU40" i="20"/>
  <c r="HJ39" i="20"/>
  <c r="HJ36" i="20"/>
  <c r="HY35" i="20"/>
  <c r="HJ33" i="20"/>
  <c r="IN37" i="20"/>
  <c r="IN30" i="20"/>
  <c r="GF38" i="20"/>
  <c r="GU34" i="20"/>
  <c r="GF32" i="20"/>
  <c r="GU31" i="20"/>
  <c r="HJ30" i="20"/>
  <c r="HY29" i="20"/>
  <c r="HJ27" i="20"/>
  <c r="HY26" i="20"/>
  <c r="IN35" i="20"/>
  <c r="HY38" i="20"/>
  <c r="FQ35" i="20"/>
  <c r="HY32" i="20"/>
  <c r="FQ29" i="20"/>
  <c r="GF28" i="20"/>
  <c r="IN28" i="20"/>
  <c r="IN16" i="20"/>
  <c r="GU39" i="20"/>
  <c r="GF37" i="20"/>
  <c r="FQ32" i="20"/>
  <c r="GF31" i="20"/>
  <c r="GU30" i="20"/>
  <c r="HJ29" i="20"/>
  <c r="GU27" i="20"/>
  <c r="HJ26" i="20"/>
  <c r="IN21" i="20"/>
  <c r="HY37" i="20"/>
  <c r="HJ35" i="20"/>
  <c r="HJ32" i="20"/>
  <c r="HY28" i="20"/>
  <c r="FQ28" i="20"/>
  <c r="IN24" i="20"/>
  <c r="IN12" i="20"/>
  <c r="GU37" i="20"/>
  <c r="GF35" i="20"/>
  <c r="FB151" i="20" s="1"/>
  <c r="HY31" i="20"/>
  <c r="FQ31" i="20"/>
  <c r="GF30" i="20"/>
  <c r="GU29" i="20"/>
  <c r="GF27" i="20"/>
  <c r="GU26" i="20"/>
  <c r="IN34" i="20"/>
  <c r="IN15" i="20"/>
  <c r="HY30" i="20"/>
  <c r="HY27" i="20"/>
  <c r="HJ20" i="20"/>
  <c r="HY40" i="20"/>
  <c r="GU33" i="20"/>
  <c r="HJ31" i="20"/>
  <c r="HJ28" i="20"/>
  <c r="FQ26" i="20"/>
  <c r="GF25" i="20"/>
  <c r="GU24" i="20"/>
  <c r="HJ23" i="20"/>
  <c r="HY22" i="20"/>
  <c r="FQ22" i="20"/>
  <c r="FQ19" i="20"/>
  <c r="GF18" i="20"/>
  <c r="FQ38" i="20"/>
  <c r="GU36" i="20"/>
  <c r="HY34" i="20"/>
  <c r="GU32" i="20"/>
  <c r="GF21" i="20"/>
  <c r="GU20" i="20"/>
  <c r="HJ25" i="20"/>
  <c r="HY24" i="20"/>
  <c r="FQ24" i="20"/>
  <c r="GF23" i="20"/>
  <c r="GU22" i="20"/>
  <c r="HJ21" i="20"/>
  <c r="GU19" i="20"/>
  <c r="HJ18" i="20"/>
  <c r="IN22" i="20"/>
  <c r="FQ25" i="20"/>
  <c r="GU23" i="20"/>
  <c r="HY21" i="20"/>
  <c r="HY18" i="20"/>
  <c r="HJ17" i="20"/>
  <c r="HY16" i="20"/>
  <c r="HJ14" i="20"/>
  <c r="HY13" i="20"/>
  <c r="GF33" i="20"/>
  <c r="FB149" i="20" s="1"/>
  <c r="GF19" i="20"/>
  <c r="FB135" i="20" s="1"/>
  <c r="FQ16" i="20"/>
  <c r="GF15" i="20"/>
  <c r="FQ13" i="20"/>
  <c r="GF12" i="20"/>
  <c r="GF34" i="20"/>
  <c r="FB150" i="20" s="1"/>
  <c r="GF26" i="20"/>
  <c r="HY20" i="20"/>
  <c r="FQ20" i="20"/>
  <c r="HY19" i="20"/>
  <c r="HJ19" i="20"/>
  <c r="GU17" i="20"/>
  <c r="HJ16" i="20"/>
  <c r="GU14" i="20"/>
  <c r="HJ13" i="20"/>
  <c r="FQ21" i="20"/>
  <c r="GU16" i="20"/>
  <c r="HJ15" i="20"/>
  <c r="HJ12" i="20"/>
  <c r="HY11" i="20"/>
  <c r="IN29" i="20"/>
  <c r="HY25" i="20"/>
  <c r="HJ22" i="20"/>
  <c r="GF14" i="20"/>
  <c r="FB130" i="20" s="1"/>
  <c r="GU28" i="20"/>
  <c r="HY17" i="20"/>
  <c r="IN27" i="20"/>
  <c r="HJ38" i="20"/>
  <c r="FQ18" i="20"/>
  <c r="FQ17" i="20"/>
  <c r="HY14" i="20"/>
  <c r="HJ11" i="20"/>
  <c r="GU11" i="20"/>
  <c r="GF29" i="20"/>
  <c r="HY23" i="20"/>
  <c r="GU18" i="20"/>
  <c r="GU15" i="20"/>
  <c r="GF13" i="20"/>
  <c r="GF11" i="20"/>
  <c r="FQ23" i="20"/>
  <c r="FQ15" i="20"/>
  <c r="HY12" i="20"/>
  <c r="FQ27" i="20"/>
  <c r="GF24" i="20"/>
  <c r="GF17" i="20"/>
  <c r="GU13" i="20"/>
  <c r="GF40" i="20"/>
  <c r="FB156" i="20" s="1"/>
  <c r="FQ14" i="20"/>
  <c r="HJ24" i="20"/>
  <c r="FQ11" i="20"/>
  <c r="GU21" i="20"/>
  <c r="FQ30" i="20"/>
  <c r="FQ33" i="20"/>
  <c r="GF16" i="20"/>
  <c r="GU12" i="20"/>
  <c r="GU25" i="20"/>
  <c r="GF22" i="20"/>
  <c r="FB138" i="20" s="1"/>
  <c r="GF20" i="20"/>
  <c r="HY15" i="20"/>
  <c r="FQ12" i="20"/>
  <c r="H3" i="20"/>
  <c r="L8" i="20" s="1"/>
  <c r="I3" i="20"/>
  <c r="FB142" i="20" l="1"/>
  <c r="FB143" i="20"/>
  <c r="FB133" i="20"/>
  <c r="FB146" i="20"/>
  <c r="FB136" i="20"/>
  <c r="FB145" i="20"/>
  <c r="FB153" i="20"/>
  <c r="FB154" i="20"/>
  <c r="FB140" i="20"/>
  <c r="FB147" i="20"/>
  <c r="FB131" i="20"/>
  <c r="FB139" i="20"/>
  <c r="FB141" i="20"/>
  <c r="FB148" i="20"/>
  <c r="FB152" i="20"/>
  <c r="FB134" i="20"/>
  <c r="FB127" i="20"/>
  <c r="FB155" i="20"/>
  <c r="FB132" i="20"/>
  <c r="FB129" i="20"/>
  <c r="FB128" i="20"/>
  <c r="FB137" i="20"/>
  <c r="FB144" i="20"/>
  <c r="FG1" i="20"/>
  <c r="FF124" i="20"/>
  <c r="FF123" i="20"/>
  <c r="FF125" i="20"/>
  <c r="FF126" i="20"/>
  <c r="JB14" i="20"/>
  <c r="JC13" i="20"/>
  <c r="JD13" i="20"/>
  <c r="JE12" i="20"/>
  <c r="IX12" i="20"/>
  <c r="L4" i="20"/>
  <c r="L9" i="20"/>
  <c r="L6" i="20"/>
  <c r="E53" i="18"/>
  <c r="D53" i="18"/>
  <c r="C53" i="18"/>
  <c r="E52" i="18"/>
  <c r="D52" i="18"/>
  <c r="C52" i="18"/>
  <c r="E51" i="18"/>
  <c r="D51" i="18"/>
  <c r="C51" i="18"/>
  <c r="E50" i="18"/>
  <c r="D50" i="18"/>
  <c r="C50" i="18"/>
  <c r="E48" i="18"/>
  <c r="D48" i="18"/>
  <c r="C48" i="18"/>
  <c r="E47" i="18"/>
  <c r="D47" i="18"/>
  <c r="C47" i="18"/>
  <c r="E46" i="18"/>
  <c r="D46" i="18"/>
  <c r="C46" i="18"/>
  <c r="E45" i="18"/>
  <c r="D45" i="18"/>
  <c r="C45" i="18"/>
  <c r="G45" i="18" s="1"/>
  <c r="E43" i="18"/>
  <c r="I43" i="18" s="1"/>
  <c r="D43" i="18"/>
  <c r="C43" i="18"/>
  <c r="E42" i="18"/>
  <c r="D42" i="18"/>
  <c r="C42" i="18"/>
  <c r="E41" i="18"/>
  <c r="D41" i="18"/>
  <c r="C41" i="18"/>
  <c r="E40" i="18"/>
  <c r="D40" i="18"/>
  <c r="C40" i="18"/>
  <c r="G40" i="18" s="1"/>
  <c r="E38" i="18"/>
  <c r="I38" i="18" s="1"/>
  <c r="D38" i="18"/>
  <c r="C38" i="18"/>
  <c r="E37" i="18"/>
  <c r="D37" i="18"/>
  <c r="C37" i="18"/>
  <c r="E36" i="18"/>
  <c r="D36" i="18"/>
  <c r="H36" i="18" s="1"/>
  <c r="C36" i="18"/>
  <c r="E35" i="18"/>
  <c r="D35" i="18"/>
  <c r="C35" i="18"/>
  <c r="G35" i="18" s="1"/>
  <c r="E33" i="18"/>
  <c r="D33" i="18"/>
  <c r="C33" i="18"/>
  <c r="E32" i="18"/>
  <c r="D32" i="18"/>
  <c r="C32" i="18"/>
  <c r="E31" i="18"/>
  <c r="I31" i="18" s="1"/>
  <c r="D31" i="18"/>
  <c r="C31" i="18"/>
  <c r="E30" i="18"/>
  <c r="D30" i="18"/>
  <c r="C30" i="18"/>
  <c r="G30" i="18" s="1"/>
  <c r="E28" i="18"/>
  <c r="D28" i="18"/>
  <c r="C28" i="18"/>
  <c r="E27" i="18"/>
  <c r="I27" i="18" s="1"/>
  <c r="D27" i="18"/>
  <c r="H27" i="18" s="1"/>
  <c r="C27" i="18"/>
  <c r="E26" i="18"/>
  <c r="I26" i="18" s="1"/>
  <c r="D26" i="18"/>
  <c r="C26" i="18"/>
  <c r="E25" i="18"/>
  <c r="D25" i="18"/>
  <c r="C25" i="18"/>
  <c r="E23" i="18"/>
  <c r="I23" i="18" s="1"/>
  <c r="D23" i="18"/>
  <c r="C23" i="18"/>
  <c r="E22" i="18"/>
  <c r="D22" i="18"/>
  <c r="C22" i="18"/>
  <c r="E21" i="18"/>
  <c r="D21" i="18"/>
  <c r="C21" i="18"/>
  <c r="E20" i="18"/>
  <c r="D20" i="18"/>
  <c r="H20" i="18" s="1"/>
  <c r="C20" i="18"/>
  <c r="G20" i="18" s="1"/>
  <c r="E18" i="18"/>
  <c r="D18" i="18"/>
  <c r="C18" i="18"/>
  <c r="E17" i="18"/>
  <c r="I17" i="18" s="1"/>
  <c r="D17" i="18"/>
  <c r="C17" i="18"/>
  <c r="E16" i="18"/>
  <c r="D16" i="18"/>
  <c r="C16" i="18"/>
  <c r="E15" i="18"/>
  <c r="D15" i="18"/>
  <c r="C15" i="18"/>
  <c r="E13" i="18"/>
  <c r="D13" i="18"/>
  <c r="C13" i="18"/>
  <c r="E12" i="18"/>
  <c r="D12" i="18"/>
  <c r="C12" i="18"/>
  <c r="E11" i="18"/>
  <c r="D11" i="18"/>
  <c r="C11" i="18"/>
  <c r="E10" i="18"/>
  <c r="D10" i="18"/>
  <c r="C10" i="18"/>
  <c r="I48" i="18"/>
  <c r="E53" i="17"/>
  <c r="D53" i="17"/>
  <c r="C53" i="17"/>
  <c r="E52" i="17"/>
  <c r="D52" i="17"/>
  <c r="C52" i="17"/>
  <c r="E51" i="17"/>
  <c r="D51" i="17"/>
  <c r="C51" i="17"/>
  <c r="E50" i="17"/>
  <c r="D50" i="17"/>
  <c r="C50" i="17"/>
  <c r="E48" i="17"/>
  <c r="D48" i="17"/>
  <c r="C48" i="17"/>
  <c r="E47" i="17"/>
  <c r="D47" i="17"/>
  <c r="C47" i="17"/>
  <c r="E46" i="17"/>
  <c r="D46" i="17"/>
  <c r="C46" i="17"/>
  <c r="E45" i="17"/>
  <c r="D45" i="17"/>
  <c r="C45" i="17"/>
  <c r="E43" i="17"/>
  <c r="D43" i="17"/>
  <c r="C43" i="17"/>
  <c r="E42" i="17"/>
  <c r="D42" i="17"/>
  <c r="C42" i="17"/>
  <c r="E41" i="17"/>
  <c r="D41" i="17"/>
  <c r="C41" i="17"/>
  <c r="E40" i="17"/>
  <c r="D40" i="17"/>
  <c r="C40" i="17"/>
  <c r="E38" i="17"/>
  <c r="D38" i="17"/>
  <c r="C38" i="17"/>
  <c r="E37" i="17"/>
  <c r="D37" i="17"/>
  <c r="C37" i="17"/>
  <c r="E36" i="17"/>
  <c r="D36" i="17"/>
  <c r="C36" i="17"/>
  <c r="E35" i="17"/>
  <c r="D35" i="17"/>
  <c r="C35" i="17"/>
  <c r="E33" i="17"/>
  <c r="D33" i="17"/>
  <c r="C33" i="17"/>
  <c r="E32" i="17"/>
  <c r="D32" i="17"/>
  <c r="C32" i="17"/>
  <c r="E31" i="17"/>
  <c r="D31" i="17"/>
  <c r="C31" i="17"/>
  <c r="E30" i="17"/>
  <c r="D30" i="17"/>
  <c r="C30" i="17"/>
  <c r="E28" i="17"/>
  <c r="D28" i="17"/>
  <c r="C28" i="17"/>
  <c r="E27" i="17"/>
  <c r="D27" i="17"/>
  <c r="C27" i="17"/>
  <c r="E26" i="17"/>
  <c r="D26" i="17"/>
  <c r="H26" i="17" s="1"/>
  <c r="C26" i="17"/>
  <c r="E25" i="17"/>
  <c r="D25" i="17"/>
  <c r="C25" i="17"/>
  <c r="E23" i="17"/>
  <c r="D23" i="17"/>
  <c r="C23" i="17"/>
  <c r="E22" i="17"/>
  <c r="D22" i="17"/>
  <c r="C22" i="17"/>
  <c r="E21" i="17"/>
  <c r="D21" i="17"/>
  <c r="C21" i="17"/>
  <c r="E20" i="17"/>
  <c r="D20" i="17"/>
  <c r="H20" i="17" s="1"/>
  <c r="C20" i="17"/>
  <c r="E18" i="17"/>
  <c r="D18" i="17"/>
  <c r="C18" i="17"/>
  <c r="E17" i="17"/>
  <c r="D17" i="17"/>
  <c r="C17" i="17"/>
  <c r="E16" i="17"/>
  <c r="I16" i="17" s="1"/>
  <c r="D16" i="17"/>
  <c r="H16" i="17" s="1"/>
  <c r="C16" i="17"/>
  <c r="E15" i="17"/>
  <c r="D15" i="17"/>
  <c r="C15" i="17"/>
  <c r="E13" i="17"/>
  <c r="D13" i="17"/>
  <c r="C13" i="17"/>
  <c r="E12" i="17"/>
  <c r="D12" i="17"/>
  <c r="C12" i="17"/>
  <c r="E11" i="17"/>
  <c r="D11" i="17"/>
  <c r="C11" i="17"/>
  <c r="E10" i="17"/>
  <c r="D10" i="17"/>
  <c r="H10" i="17" s="1"/>
  <c r="C10" i="17"/>
  <c r="E53" i="4"/>
  <c r="I53" i="4" s="1"/>
  <c r="D53" i="4"/>
  <c r="H53" i="4" s="1"/>
  <c r="C53" i="4"/>
  <c r="G53" i="4" s="1"/>
  <c r="E52" i="4"/>
  <c r="I52" i="4" s="1"/>
  <c r="D52" i="4"/>
  <c r="H52" i="4" s="1"/>
  <c r="C52" i="4"/>
  <c r="E51" i="4"/>
  <c r="I51" i="4" s="1"/>
  <c r="D51" i="4"/>
  <c r="C51" i="4"/>
  <c r="G51" i="4" s="1"/>
  <c r="E50" i="4"/>
  <c r="I50" i="4" s="1"/>
  <c r="D50" i="4"/>
  <c r="H50" i="4" s="1"/>
  <c r="E48" i="4"/>
  <c r="I48" i="4" s="1"/>
  <c r="D48" i="4"/>
  <c r="H48" i="4" s="1"/>
  <c r="C48" i="4"/>
  <c r="G48" i="4" s="1"/>
  <c r="E47" i="4"/>
  <c r="I47" i="4" s="1"/>
  <c r="D47" i="4"/>
  <c r="H47" i="4" s="1"/>
  <c r="C47" i="4"/>
  <c r="G47" i="4" s="1"/>
  <c r="E46" i="4"/>
  <c r="I46" i="4" s="1"/>
  <c r="D46" i="4"/>
  <c r="H46" i="4" s="1"/>
  <c r="C46" i="4"/>
  <c r="G46" i="4" s="1"/>
  <c r="E45" i="4"/>
  <c r="I45" i="4" s="1"/>
  <c r="D45" i="4"/>
  <c r="H45" i="4" s="1"/>
  <c r="E43" i="4"/>
  <c r="I43" i="4" s="1"/>
  <c r="D43" i="4"/>
  <c r="H43" i="4" s="1"/>
  <c r="C43" i="4"/>
  <c r="G43" i="4" s="1"/>
  <c r="E42" i="4"/>
  <c r="I42" i="4" s="1"/>
  <c r="D42" i="4"/>
  <c r="H42" i="4" s="1"/>
  <c r="C42" i="4"/>
  <c r="E41" i="4"/>
  <c r="I41" i="4" s="1"/>
  <c r="D41" i="4"/>
  <c r="H41" i="4" s="1"/>
  <c r="C41" i="4"/>
  <c r="G41" i="4" s="1"/>
  <c r="E40" i="4"/>
  <c r="I40" i="4" s="1"/>
  <c r="D40" i="4"/>
  <c r="H40" i="4" s="1"/>
  <c r="E38" i="4"/>
  <c r="I38" i="4" s="1"/>
  <c r="D38" i="4"/>
  <c r="C38" i="4"/>
  <c r="G38" i="4" s="1"/>
  <c r="E37" i="4"/>
  <c r="D37" i="4"/>
  <c r="H37" i="4" s="1"/>
  <c r="C37" i="4"/>
  <c r="G37" i="4" s="1"/>
  <c r="E36" i="4"/>
  <c r="I36" i="4" s="1"/>
  <c r="D36" i="4"/>
  <c r="H36" i="4" s="1"/>
  <c r="C36" i="4"/>
  <c r="G36" i="4" s="1"/>
  <c r="E35" i="4"/>
  <c r="D35" i="4"/>
  <c r="H35" i="4" s="1"/>
  <c r="E33" i="4"/>
  <c r="I33" i="4" s="1"/>
  <c r="D33" i="4"/>
  <c r="H33" i="4" s="1"/>
  <c r="C33" i="4"/>
  <c r="G33" i="4" s="1"/>
  <c r="E32" i="4"/>
  <c r="I32" i="4" s="1"/>
  <c r="D32" i="4"/>
  <c r="H32" i="4" s="1"/>
  <c r="C32" i="4"/>
  <c r="E31" i="4"/>
  <c r="I31" i="4" s="1"/>
  <c r="D31" i="4"/>
  <c r="C31" i="4"/>
  <c r="G31" i="4" s="1"/>
  <c r="E30" i="4"/>
  <c r="I30" i="4" s="1"/>
  <c r="D30" i="4"/>
  <c r="H30" i="4" s="1"/>
  <c r="C50" i="4"/>
  <c r="G50" i="4" s="1"/>
  <c r="C45" i="4"/>
  <c r="C40" i="4"/>
  <c r="G40" i="4" s="1"/>
  <c r="C35" i="4"/>
  <c r="C30" i="4"/>
  <c r="G30" i="4" s="1"/>
  <c r="E28" i="4"/>
  <c r="I28" i="4" s="1"/>
  <c r="D28" i="4"/>
  <c r="H28" i="4" s="1"/>
  <c r="C28" i="4"/>
  <c r="G28" i="4" s="1"/>
  <c r="E27" i="4"/>
  <c r="D27" i="4"/>
  <c r="H27" i="4" s="1"/>
  <c r="C27" i="4"/>
  <c r="G27" i="4" s="1"/>
  <c r="E26" i="4"/>
  <c r="I26" i="4" s="1"/>
  <c r="D26" i="4"/>
  <c r="H26" i="4" s="1"/>
  <c r="C26" i="4"/>
  <c r="G26" i="4" s="1"/>
  <c r="E23" i="4"/>
  <c r="I23" i="4" s="1"/>
  <c r="D23" i="4"/>
  <c r="H23" i="4" s="1"/>
  <c r="C23" i="4"/>
  <c r="G23" i="4" s="1"/>
  <c r="E22" i="4"/>
  <c r="I22" i="4" s="1"/>
  <c r="D22" i="4"/>
  <c r="H22" i="4" s="1"/>
  <c r="C22" i="4"/>
  <c r="G22" i="4" s="1"/>
  <c r="E21" i="4"/>
  <c r="I21" i="4" s="1"/>
  <c r="D21" i="4"/>
  <c r="H21" i="4" s="1"/>
  <c r="C21" i="4"/>
  <c r="G21" i="4" s="1"/>
  <c r="E18" i="4"/>
  <c r="I18" i="4" s="1"/>
  <c r="D18" i="4"/>
  <c r="H18" i="4" s="1"/>
  <c r="C18" i="4"/>
  <c r="G18" i="4" s="1"/>
  <c r="E17" i="4"/>
  <c r="I17" i="4" s="1"/>
  <c r="D17" i="4"/>
  <c r="H17" i="4" s="1"/>
  <c r="C17" i="4"/>
  <c r="G17" i="4" s="1"/>
  <c r="E16" i="4"/>
  <c r="I16" i="4" s="1"/>
  <c r="D16" i="4"/>
  <c r="H16" i="4" s="1"/>
  <c r="C16" i="4"/>
  <c r="G16" i="4" s="1"/>
  <c r="E13" i="4"/>
  <c r="I13" i="4" s="1"/>
  <c r="D13" i="4"/>
  <c r="H13" i="4" s="1"/>
  <c r="C13" i="4"/>
  <c r="G13" i="4" s="1"/>
  <c r="E12" i="4"/>
  <c r="I12" i="4" s="1"/>
  <c r="D12" i="4"/>
  <c r="H12" i="4" s="1"/>
  <c r="C12" i="4"/>
  <c r="G12" i="4" s="1"/>
  <c r="E11" i="4"/>
  <c r="I11" i="4" s="1"/>
  <c r="D11" i="4"/>
  <c r="H11" i="4" s="1"/>
  <c r="C11" i="4"/>
  <c r="G11" i="4" s="1"/>
  <c r="E53" i="2"/>
  <c r="D53" i="2"/>
  <c r="C53" i="2"/>
  <c r="E52" i="2"/>
  <c r="D52" i="2"/>
  <c r="C52" i="2"/>
  <c r="E51" i="2"/>
  <c r="D51" i="2"/>
  <c r="C51" i="2"/>
  <c r="E50" i="2"/>
  <c r="D50" i="2"/>
  <c r="E48" i="2"/>
  <c r="D48" i="2"/>
  <c r="C48" i="2"/>
  <c r="E47" i="2"/>
  <c r="D47" i="2"/>
  <c r="C47" i="2"/>
  <c r="E46" i="2"/>
  <c r="D46" i="2"/>
  <c r="C46" i="2"/>
  <c r="E45" i="2"/>
  <c r="D45" i="2"/>
  <c r="E43" i="2"/>
  <c r="D43" i="2"/>
  <c r="C43" i="2"/>
  <c r="E42" i="2"/>
  <c r="D42" i="2"/>
  <c r="C42" i="2"/>
  <c r="E41" i="2"/>
  <c r="D41" i="2"/>
  <c r="C41" i="2"/>
  <c r="E40" i="2"/>
  <c r="D40" i="2"/>
  <c r="E38" i="2"/>
  <c r="D38" i="2"/>
  <c r="C38" i="2"/>
  <c r="E37" i="2"/>
  <c r="D37" i="2"/>
  <c r="C37" i="2"/>
  <c r="E36" i="2"/>
  <c r="D36" i="2"/>
  <c r="C36" i="2"/>
  <c r="E35" i="2"/>
  <c r="I35" i="2" s="1"/>
  <c r="D35" i="2"/>
  <c r="C50" i="2"/>
  <c r="C45" i="2"/>
  <c r="C40" i="2"/>
  <c r="C35" i="2"/>
  <c r="E33" i="2"/>
  <c r="D33" i="2"/>
  <c r="C33" i="2"/>
  <c r="E32" i="2"/>
  <c r="D32" i="2"/>
  <c r="C32" i="2"/>
  <c r="E31" i="2"/>
  <c r="D31" i="2"/>
  <c r="C31" i="2"/>
  <c r="E30" i="2"/>
  <c r="D30" i="2"/>
  <c r="C30" i="2"/>
  <c r="E28" i="2"/>
  <c r="D28" i="2"/>
  <c r="C28" i="2"/>
  <c r="E27" i="2"/>
  <c r="D27" i="2"/>
  <c r="C27" i="2"/>
  <c r="E26" i="2"/>
  <c r="D26" i="2"/>
  <c r="C26" i="2"/>
  <c r="E23" i="2"/>
  <c r="D23" i="2"/>
  <c r="C23" i="2"/>
  <c r="E22" i="2"/>
  <c r="I22" i="2" s="1"/>
  <c r="D22" i="2"/>
  <c r="C22" i="2"/>
  <c r="E21" i="2"/>
  <c r="D21" i="2"/>
  <c r="C21" i="2"/>
  <c r="E18" i="2"/>
  <c r="D18" i="2"/>
  <c r="C18" i="2"/>
  <c r="E17" i="2"/>
  <c r="D17" i="2"/>
  <c r="C17" i="2"/>
  <c r="E16" i="2"/>
  <c r="D16" i="2"/>
  <c r="H16" i="2" s="1"/>
  <c r="C16" i="2"/>
  <c r="E13" i="2"/>
  <c r="D13" i="2"/>
  <c r="C13" i="2"/>
  <c r="E12" i="2"/>
  <c r="D12" i="2"/>
  <c r="C12" i="2"/>
  <c r="E11" i="2"/>
  <c r="D11" i="2"/>
  <c r="C11" i="2"/>
  <c r="C10" i="2"/>
  <c r="C15" i="2"/>
  <c r="C20" i="2"/>
  <c r="C25" i="2"/>
  <c r="AA5" i="13"/>
  <c r="T5" i="13"/>
  <c r="BE5" i="13"/>
  <c r="AX5" i="13"/>
  <c r="D36" i="13"/>
  <c r="D35" i="13"/>
  <c r="D34" i="13"/>
  <c r="D33" i="13"/>
  <c r="D32" i="13"/>
  <c r="D31" i="13"/>
  <c r="D30" i="13"/>
  <c r="D29" i="13"/>
  <c r="D28" i="13"/>
  <c r="D27" i="13"/>
  <c r="D26" i="13"/>
  <c r="D25" i="13"/>
  <c r="D24" i="13"/>
  <c r="D23" i="13"/>
  <c r="D22" i="13"/>
  <c r="D21" i="13"/>
  <c r="D20" i="13"/>
  <c r="D19" i="13"/>
  <c r="D18" i="13"/>
  <c r="D17" i="13"/>
  <c r="D16" i="13"/>
  <c r="D15" i="13"/>
  <c r="D14" i="13"/>
  <c r="D13" i="13"/>
  <c r="E12" i="13"/>
  <c r="L12" i="13" s="1"/>
  <c r="D12" i="13"/>
  <c r="D11" i="13"/>
  <c r="E11" i="13" s="1"/>
  <c r="K11" i="13" s="1"/>
  <c r="D10" i="13"/>
  <c r="E10" i="13" s="1"/>
  <c r="E9" i="13"/>
  <c r="L9" i="13" s="1"/>
  <c r="AQ5" i="13"/>
  <c r="M5" i="13"/>
  <c r="N11" i="13" l="1"/>
  <c r="H19" i="28" a="1"/>
  <c r="H19" i="28" s="1"/>
  <c r="H19" i="20" a="1"/>
  <c r="H19" i="20" s="1"/>
  <c r="L10" i="20"/>
  <c r="H12" i="18"/>
  <c r="H43" i="18"/>
  <c r="H42" i="17"/>
  <c r="H33" i="17"/>
  <c r="I47" i="17"/>
  <c r="I13" i="17"/>
  <c r="I36" i="17"/>
  <c r="H41" i="17"/>
  <c r="I42" i="17"/>
  <c r="H53" i="17"/>
  <c r="H13" i="17"/>
  <c r="H48" i="17"/>
  <c r="H51" i="17"/>
  <c r="I52" i="17"/>
  <c r="H17" i="17"/>
  <c r="H27" i="17"/>
  <c r="H31" i="17"/>
  <c r="I32" i="17"/>
  <c r="I27" i="17"/>
  <c r="I31" i="17"/>
  <c r="FH1" i="20"/>
  <c r="FG124" i="20"/>
  <c r="FG123" i="20"/>
  <c r="FG126" i="20"/>
  <c r="FG125" i="20"/>
  <c r="JB15" i="20"/>
  <c r="JC14" i="20"/>
  <c r="JD14" i="20"/>
  <c r="JE13" i="20"/>
  <c r="IX13" i="20"/>
  <c r="H26" i="18"/>
  <c r="H35" i="18"/>
  <c r="H38" i="18"/>
  <c r="H48" i="18"/>
  <c r="H28" i="17"/>
  <c r="H37" i="17"/>
  <c r="H47" i="17"/>
  <c r="G53" i="17"/>
  <c r="H15" i="17"/>
  <c r="H25" i="17"/>
  <c r="I41" i="17"/>
  <c r="I51" i="17"/>
  <c r="I25" i="17"/>
  <c r="H46" i="17"/>
  <c r="H12" i="17"/>
  <c r="G22" i="17"/>
  <c r="I46" i="17"/>
  <c r="G52" i="17"/>
  <c r="H22" i="17"/>
  <c r="H23" i="17"/>
  <c r="H32" i="17"/>
  <c r="H36" i="17"/>
  <c r="H52" i="17"/>
  <c r="H50" i="2"/>
  <c r="N7" i="11"/>
  <c r="M8" i="11" s="1"/>
  <c r="J7" i="11"/>
  <c r="I8" i="11" s="1"/>
  <c r="H53" i="18"/>
  <c r="H23" i="18"/>
  <c r="H28" i="18"/>
  <c r="I33" i="18"/>
  <c r="I41" i="18"/>
  <c r="G18" i="18"/>
  <c r="G42" i="18"/>
  <c r="G52" i="18"/>
  <c r="I10" i="18"/>
  <c r="H40" i="18"/>
  <c r="H42" i="18"/>
  <c r="H52" i="18"/>
  <c r="G21" i="18"/>
  <c r="H31" i="18"/>
  <c r="I36" i="18"/>
  <c r="G11" i="18"/>
  <c r="G13" i="18"/>
  <c r="G22" i="18"/>
  <c r="G32" i="18"/>
  <c r="G37" i="18"/>
  <c r="I46" i="18"/>
  <c r="I11" i="18"/>
  <c r="I13" i="18"/>
  <c r="H15" i="18"/>
  <c r="H17" i="18"/>
  <c r="H22" i="18"/>
  <c r="H32" i="18"/>
  <c r="H37" i="18"/>
  <c r="G47" i="18"/>
  <c r="H33" i="18"/>
  <c r="H47" i="18"/>
  <c r="I12" i="18"/>
  <c r="I16" i="18"/>
  <c r="I51" i="18"/>
  <c r="G31" i="18"/>
  <c r="I40" i="18"/>
  <c r="G41" i="18"/>
  <c r="I45" i="18"/>
  <c r="H46" i="18"/>
  <c r="H13" i="18"/>
  <c r="G16" i="18"/>
  <c r="I18" i="18"/>
  <c r="I21" i="18"/>
  <c r="G25" i="18"/>
  <c r="H41" i="18"/>
  <c r="H11" i="18"/>
  <c r="I35" i="18"/>
  <c r="I37" i="18"/>
  <c r="I15" i="18"/>
  <c r="H16" i="18"/>
  <c r="H25" i="18"/>
  <c r="G26" i="18"/>
  <c r="I28" i="18"/>
  <c r="G38" i="18"/>
  <c r="G51" i="18"/>
  <c r="I53" i="18"/>
  <c r="G17" i="18"/>
  <c r="I20" i="18"/>
  <c r="I22" i="18"/>
  <c r="G36" i="18"/>
  <c r="G50" i="18"/>
  <c r="G10" i="18"/>
  <c r="G12" i="18"/>
  <c r="G15" i="18"/>
  <c r="G23" i="18"/>
  <c r="I32" i="18"/>
  <c r="H25" i="28" s="1" a="1"/>
  <c r="H25" i="28" s="1"/>
  <c r="H10" i="18"/>
  <c r="G27" i="18"/>
  <c r="I30" i="18"/>
  <c r="G33" i="18"/>
  <c r="G46" i="18"/>
  <c r="I50" i="18"/>
  <c r="I42" i="18"/>
  <c r="G43" i="18"/>
  <c r="I47" i="18"/>
  <c r="G48" i="18"/>
  <c r="I52" i="18"/>
  <c r="G53" i="18"/>
  <c r="H18" i="18"/>
  <c r="H21" i="18"/>
  <c r="H30" i="18"/>
  <c r="H45" i="18"/>
  <c r="H50" i="18"/>
  <c r="H51" i="18"/>
  <c r="I25" i="18"/>
  <c r="G28" i="18"/>
  <c r="G20" i="17"/>
  <c r="G37" i="17"/>
  <c r="G32" i="17"/>
  <c r="G38" i="17"/>
  <c r="G47" i="17"/>
  <c r="G11" i="17"/>
  <c r="G23" i="17"/>
  <c r="G42" i="17"/>
  <c r="G12" i="17"/>
  <c r="G28" i="17"/>
  <c r="G10" i="17"/>
  <c r="G33" i="17"/>
  <c r="G48" i="17"/>
  <c r="G15" i="17"/>
  <c r="G43" i="17"/>
  <c r="I43" i="17"/>
  <c r="I17" i="17"/>
  <c r="I50" i="17"/>
  <c r="I10" i="17"/>
  <c r="I12" i="17"/>
  <c r="G13" i="17"/>
  <c r="I15" i="17"/>
  <c r="G17" i="17"/>
  <c r="G21" i="17"/>
  <c r="G30" i="17"/>
  <c r="I33" i="17"/>
  <c r="I37" i="17"/>
  <c r="I53" i="17"/>
  <c r="G18" i="17"/>
  <c r="H21" i="17"/>
  <c r="H30" i="17"/>
  <c r="G45" i="17"/>
  <c r="H18" i="17"/>
  <c r="I21" i="17"/>
  <c r="G27" i="17"/>
  <c r="I30" i="17"/>
  <c r="G35" i="17"/>
  <c r="H45" i="17"/>
  <c r="I38" i="17"/>
  <c r="H11" i="17"/>
  <c r="I18" i="17"/>
  <c r="G25" i="17"/>
  <c r="H35" i="17"/>
  <c r="H38" i="17"/>
  <c r="G40" i="17"/>
  <c r="H43" i="17"/>
  <c r="I45" i="17"/>
  <c r="G46" i="17"/>
  <c r="I11" i="17"/>
  <c r="I22" i="17"/>
  <c r="I26" i="17"/>
  <c r="G31" i="17"/>
  <c r="I35" i="17"/>
  <c r="H40" i="17"/>
  <c r="I20" i="17"/>
  <c r="I23" i="17"/>
  <c r="G26" i="17"/>
  <c r="I28" i="17"/>
  <c r="I40" i="17"/>
  <c r="G50" i="17"/>
  <c r="G51" i="17"/>
  <c r="G16" i="17"/>
  <c r="G36" i="17"/>
  <c r="G41" i="17"/>
  <c r="I48" i="17"/>
  <c r="H50" i="17"/>
  <c r="I27" i="4"/>
  <c r="G42" i="4"/>
  <c r="H31" i="4"/>
  <c r="I19" i="28" s="1" a="1"/>
  <c r="I19" i="28" s="1"/>
  <c r="G45" i="4"/>
  <c r="G32" i="4"/>
  <c r="H51" i="4"/>
  <c r="G35" i="4"/>
  <c r="G52" i="4"/>
  <c r="I35" i="4"/>
  <c r="I37" i="4"/>
  <c r="H38" i="4"/>
  <c r="G21" i="2"/>
  <c r="I36" i="2"/>
  <c r="I52" i="2"/>
  <c r="H36" i="2"/>
  <c r="H23" i="2"/>
  <c r="G40" i="2"/>
  <c r="G53" i="2"/>
  <c r="I23" i="2"/>
  <c r="H40" i="2"/>
  <c r="G30" i="2"/>
  <c r="I42" i="2"/>
  <c r="H30" i="2"/>
  <c r="G43" i="2"/>
  <c r="I32" i="2"/>
  <c r="H46" i="2"/>
  <c r="G33" i="2"/>
  <c r="I46" i="2"/>
  <c r="H12" i="2"/>
  <c r="G17" i="2"/>
  <c r="I16" i="2"/>
  <c r="G50" i="2"/>
  <c r="I12" i="2"/>
  <c r="H17" i="2"/>
  <c r="H21" i="2"/>
  <c r="G27" i="2"/>
  <c r="I30" i="2"/>
  <c r="H33" i="2"/>
  <c r="G37" i="2"/>
  <c r="I40" i="2"/>
  <c r="H43" i="2"/>
  <c r="G47" i="2"/>
  <c r="I50" i="2"/>
  <c r="H53" i="2"/>
  <c r="G13" i="2"/>
  <c r="I17" i="2"/>
  <c r="I21" i="2"/>
  <c r="H27" i="2"/>
  <c r="G31" i="2"/>
  <c r="I33" i="2"/>
  <c r="H37" i="2"/>
  <c r="G41" i="2"/>
  <c r="I43" i="2"/>
  <c r="H47" i="2"/>
  <c r="G51" i="2"/>
  <c r="I53" i="2"/>
  <c r="G12" i="2"/>
  <c r="H13" i="2"/>
  <c r="G18" i="2"/>
  <c r="G22" i="2"/>
  <c r="I27" i="2"/>
  <c r="H31" i="2"/>
  <c r="G35" i="2"/>
  <c r="I37" i="2"/>
  <c r="I16" i="35" s="1" a="1"/>
  <c r="I16" i="35" s="1"/>
  <c r="H41" i="2"/>
  <c r="G45" i="2"/>
  <c r="I47" i="2"/>
  <c r="H51" i="2"/>
  <c r="G11" i="2"/>
  <c r="I13" i="2"/>
  <c r="H18" i="2"/>
  <c r="H22" i="2"/>
  <c r="G28" i="2"/>
  <c r="I31" i="2"/>
  <c r="H35" i="2"/>
  <c r="G38" i="2"/>
  <c r="I41" i="2"/>
  <c r="H45" i="2"/>
  <c r="G48" i="2"/>
  <c r="I51" i="2"/>
  <c r="H11" i="2"/>
  <c r="G16" i="2"/>
  <c r="I18" i="2"/>
  <c r="H28" i="2"/>
  <c r="G32" i="2"/>
  <c r="H38" i="2"/>
  <c r="G42" i="2"/>
  <c r="I45" i="2"/>
  <c r="H48" i="2"/>
  <c r="G52" i="2"/>
  <c r="I11" i="2"/>
  <c r="G23" i="2"/>
  <c r="I28" i="2"/>
  <c r="H32" i="2"/>
  <c r="G36" i="2"/>
  <c r="I38" i="2"/>
  <c r="H42" i="2"/>
  <c r="G46" i="2"/>
  <c r="I48" i="2"/>
  <c r="H52" i="2"/>
  <c r="F10" i="13"/>
  <c r="P10" i="13"/>
  <c r="G10" i="13"/>
  <c r="L10" i="13"/>
  <c r="K10" i="13"/>
  <c r="O10" i="13"/>
  <c r="J10" i="13"/>
  <c r="H10" i="13"/>
  <c r="I10" i="13"/>
  <c r="N9" i="13"/>
  <c r="X10" i="13"/>
  <c r="X12" i="13"/>
  <c r="G9" i="13"/>
  <c r="O9" i="13"/>
  <c r="W9" i="13"/>
  <c r="Q10" i="13"/>
  <c r="Y10" i="13"/>
  <c r="O11" i="13"/>
  <c r="I12" i="13"/>
  <c r="Y12" i="13"/>
  <c r="W12" i="13"/>
  <c r="U11" i="13"/>
  <c r="V12" i="13"/>
  <c r="T11" i="13"/>
  <c r="Y11" i="13"/>
  <c r="Z12" i="13"/>
  <c r="X11" i="13"/>
  <c r="F9" i="13"/>
  <c r="H12" i="13"/>
  <c r="H9" i="13"/>
  <c r="P9" i="13"/>
  <c r="X9" i="13"/>
  <c r="R10" i="13"/>
  <c r="Z10" i="13"/>
  <c r="R11" i="13"/>
  <c r="V9" i="13"/>
  <c r="I9" i="13"/>
  <c r="Q9" i="13"/>
  <c r="Y9" i="13"/>
  <c r="S10" i="13"/>
  <c r="L11" i="13"/>
  <c r="I11" i="13"/>
  <c r="H11" i="13"/>
  <c r="S11" i="13"/>
  <c r="M12" i="13"/>
  <c r="J9" i="13"/>
  <c r="R9" i="13"/>
  <c r="Z9" i="13"/>
  <c r="T10" i="13"/>
  <c r="F11" i="13"/>
  <c r="V11" i="13"/>
  <c r="P12" i="13"/>
  <c r="U9" i="13"/>
  <c r="W10" i="13"/>
  <c r="U12" i="13"/>
  <c r="K9" i="13"/>
  <c r="S9" i="13"/>
  <c r="M10" i="13"/>
  <c r="U10" i="13"/>
  <c r="G11" i="13"/>
  <c r="W11" i="13"/>
  <c r="Q12" i="13"/>
  <c r="M9" i="13"/>
  <c r="G12" i="13"/>
  <c r="F12" i="13"/>
  <c r="K12" i="13"/>
  <c r="J12" i="13"/>
  <c r="O12" i="13"/>
  <c r="M11" i="13"/>
  <c r="N12" i="13"/>
  <c r="S12" i="13"/>
  <c r="Q11" i="13"/>
  <c r="R12" i="13"/>
  <c r="P11" i="13"/>
  <c r="T9" i="13"/>
  <c r="N10" i="13"/>
  <c r="V10" i="13"/>
  <c r="J11" i="13"/>
  <c r="Z11" i="13"/>
  <c r="T12" i="13"/>
  <c r="F7" i="11"/>
  <c r="H25" i="20" l="1" a="1"/>
  <c r="H25" i="20" s="1"/>
  <c r="I19" i="20" a="1"/>
  <c r="I19" i="20" s="1"/>
  <c r="I25" i="28" a="1"/>
  <c r="I25" i="28" s="1"/>
  <c r="I25" i="20" a="1"/>
  <c r="I25" i="20" s="1"/>
  <c r="J25" i="28" a="1"/>
  <c r="J25" i="28" s="1"/>
  <c r="R4" i="28" s="1"/>
  <c r="J25" i="20" a="1"/>
  <c r="J25" i="20" s="1"/>
  <c r="R4" i="20" s="1"/>
  <c r="AS4" i="20" s="1"/>
  <c r="J22" i="28" a="1"/>
  <c r="J22" i="28" s="1"/>
  <c r="Q4" i="28" s="1"/>
  <c r="J22" i="20" a="1"/>
  <c r="J22" i="20" s="1"/>
  <c r="Q4" i="20" s="1"/>
  <c r="H22" i="28" a="1"/>
  <c r="H22" i="28" s="1"/>
  <c r="H22" i="20" a="1"/>
  <c r="H22" i="20" s="1"/>
  <c r="I22" i="28" a="1"/>
  <c r="I22" i="28" s="1"/>
  <c r="I22" i="20" a="1"/>
  <c r="I22" i="20" s="1"/>
  <c r="J19" i="28" a="1"/>
  <c r="J19" i="28" s="1"/>
  <c r="P4" i="28" s="1"/>
  <c r="J19" i="20" a="1"/>
  <c r="J19" i="20" s="1"/>
  <c r="P4" i="20" s="1"/>
  <c r="FI1" i="20"/>
  <c r="FH123" i="20"/>
  <c r="FH126" i="20"/>
  <c r="FH125" i="20"/>
  <c r="FH124" i="20"/>
  <c r="JB16" i="20"/>
  <c r="JC15" i="20"/>
  <c r="JD15" i="20"/>
  <c r="JE14" i="20"/>
  <c r="IX14" i="20"/>
  <c r="L8" i="11"/>
  <c r="L18" i="11" s="1"/>
  <c r="M52" i="11"/>
  <c r="M18" i="11"/>
  <c r="M42" i="11"/>
  <c r="M34" i="11"/>
  <c r="M53" i="11"/>
  <c r="M43" i="11"/>
  <c r="M25" i="11"/>
  <c r="M44" i="11"/>
  <c r="M39" i="11"/>
  <c r="M16" i="11"/>
  <c r="M51" i="11"/>
  <c r="M33" i="11"/>
  <c r="M15" i="11"/>
  <c r="M24" i="11"/>
  <c r="M22" i="11"/>
  <c r="M41" i="11"/>
  <c r="M48" i="11"/>
  <c r="M47" i="11"/>
  <c r="M11" i="11"/>
  <c r="M32" i="11"/>
  <c r="M30" i="11"/>
  <c r="M49" i="11"/>
  <c r="M29" i="11"/>
  <c r="M46" i="11"/>
  <c r="M50" i="11"/>
  <c r="M21" i="11"/>
  <c r="M40" i="11"/>
  <c r="M38" i="11"/>
  <c r="M10" i="11"/>
  <c r="M23" i="11"/>
  <c r="M20" i="11"/>
  <c r="M26" i="11"/>
  <c r="M37" i="11"/>
  <c r="M27" i="11"/>
  <c r="M54" i="11"/>
  <c r="M28" i="11"/>
  <c r="M31" i="11"/>
  <c r="M45" i="11"/>
  <c r="M35" i="11"/>
  <c r="M17" i="11"/>
  <c r="M36" i="11"/>
  <c r="K8" i="11"/>
  <c r="K18" i="11" s="1"/>
  <c r="I18" i="11"/>
  <c r="I53" i="11"/>
  <c r="I45" i="11"/>
  <c r="I37" i="11"/>
  <c r="I29" i="11"/>
  <c r="I21" i="11"/>
  <c r="I28" i="11"/>
  <c r="I50" i="11"/>
  <c r="I42" i="11"/>
  <c r="I34" i="11"/>
  <c r="I26" i="11"/>
  <c r="I16" i="11"/>
  <c r="I52" i="11"/>
  <c r="I44" i="11"/>
  <c r="I20" i="11"/>
  <c r="I47" i="11"/>
  <c r="I39" i="11"/>
  <c r="I31" i="11"/>
  <c r="I23" i="11"/>
  <c r="I36" i="11"/>
  <c r="I49" i="11"/>
  <c r="I41" i="11"/>
  <c r="I33" i="11"/>
  <c r="I25" i="11"/>
  <c r="I15" i="11"/>
  <c r="I11" i="11"/>
  <c r="I35" i="11"/>
  <c r="I17" i="11"/>
  <c r="I54" i="11"/>
  <c r="I46" i="11"/>
  <c r="I38" i="11"/>
  <c r="I30" i="11"/>
  <c r="I22" i="11"/>
  <c r="I51" i="11"/>
  <c r="I43" i="11"/>
  <c r="I27" i="11"/>
  <c r="I24" i="11"/>
  <c r="I40" i="11"/>
  <c r="I48" i="11"/>
  <c r="I32" i="11"/>
  <c r="I10" i="11"/>
  <c r="G8" i="11"/>
  <c r="H8" i="11"/>
  <c r="C8" i="11"/>
  <c r="D8" i="11"/>
  <c r="E8" i="11"/>
  <c r="AW12" i="13"/>
  <c r="AO12" i="13"/>
  <c r="BC11" i="13"/>
  <c r="AU11" i="13"/>
  <c r="AM11" i="13"/>
  <c r="BD12" i="13"/>
  <c r="AV12" i="13"/>
  <c r="AN12" i="13"/>
  <c r="BB11" i="13"/>
  <c r="AT11" i="13"/>
  <c r="AL11" i="13"/>
  <c r="BA12" i="13"/>
  <c r="AS12" i="13"/>
  <c r="AK12" i="13"/>
  <c r="AY11" i="13"/>
  <c r="AQ11" i="13"/>
  <c r="AZ12" i="13"/>
  <c r="AR12" i="13"/>
  <c r="AJ12" i="13"/>
  <c r="AX11" i="13"/>
  <c r="AP11" i="13"/>
  <c r="BB12" i="13"/>
  <c r="AL12" i="13"/>
  <c r="AR11" i="13"/>
  <c r="BD10" i="13"/>
  <c r="AV10" i="13"/>
  <c r="AN10" i="13"/>
  <c r="BB9" i="13"/>
  <c r="AT9" i="13"/>
  <c r="AL9" i="13"/>
  <c r="AV11" i="13"/>
  <c r="AY12" i="13"/>
  <c r="AO11" i="13"/>
  <c r="BC10" i="13"/>
  <c r="AU10" i="13"/>
  <c r="AM10" i="13"/>
  <c r="BA9" i="13"/>
  <c r="AS9" i="13"/>
  <c r="AK9" i="13"/>
  <c r="BC9" i="13"/>
  <c r="AX12" i="13"/>
  <c r="BD11" i="13"/>
  <c r="AN11" i="13"/>
  <c r="BB10" i="13"/>
  <c r="AT10" i="13"/>
  <c r="AL10" i="13"/>
  <c r="AZ9" i="13"/>
  <c r="AR9" i="13"/>
  <c r="AJ9" i="13"/>
  <c r="AV9" i="13"/>
  <c r="AU9" i="13"/>
  <c r="AU12" i="13"/>
  <c r="BA11" i="13"/>
  <c r="AK11" i="13"/>
  <c r="BA10" i="13"/>
  <c r="AS10" i="13"/>
  <c r="AK10" i="13"/>
  <c r="AY9" i="13"/>
  <c r="AQ9" i="13"/>
  <c r="AT12" i="13"/>
  <c r="AZ11" i="13"/>
  <c r="AJ11" i="13"/>
  <c r="AZ10" i="13"/>
  <c r="AR10" i="13"/>
  <c r="AJ10" i="13"/>
  <c r="AX9" i="13"/>
  <c r="AP9" i="13"/>
  <c r="AP12" i="13"/>
  <c r="BD9" i="13"/>
  <c r="AM12" i="13"/>
  <c r="AS11" i="13"/>
  <c r="AO10" i="13"/>
  <c r="AM9" i="13"/>
  <c r="AQ12" i="13"/>
  <c r="AW11" i="13"/>
  <c r="AY10" i="13"/>
  <c r="AQ10" i="13"/>
  <c r="AW9" i="13"/>
  <c r="AO9" i="13"/>
  <c r="AX10" i="13"/>
  <c r="AP10" i="13"/>
  <c r="AN9" i="13"/>
  <c r="BC12" i="13"/>
  <c r="AW10" i="13"/>
  <c r="AE12" i="13"/>
  <c r="BI12" i="13" s="1"/>
  <c r="AC11" i="13"/>
  <c r="AD12" i="13"/>
  <c r="AB11" i="13"/>
  <c r="AA12" i="13"/>
  <c r="BE12" i="13" s="1"/>
  <c r="AG11" i="13"/>
  <c r="BK11" i="13" s="1"/>
  <c r="AF11" i="13"/>
  <c r="AD10" i="13"/>
  <c r="AB9" i="13"/>
  <c r="AE10" i="13"/>
  <c r="BI10" i="13" s="1"/>
  <c r="AG12" i="13"/>
  <c r="BK12" i="13" s="1"/>
  <c r="AC10" i="13"/>
  <c r="AA9" i="13"/>
  <c r="BE9" i="13" s="1"/>
  <c r="AF12" i="13"/>
  <c r="BJ12" i="13" s="1"/>
  <c r="AB10" i="13"/>
  <c r="BF10" i="13" s="1"/>
  <c r="AA11" i="13"/>
  <c r="AC12" i="13"/>
  <c r="BG12" i="13" s="1"/>
  <c r="AA10" i="13"/>
  <c r="BE10" i="13" s="1"/>
  <c r="AG9" i="13"/>
  <c r="BK9" i="13" s="1"/>
  <c r="AB12" i="13"/>
  <c r="AF9" i="13"/>
  <c r="BJ9" i="13" s="1"/>
  <c r="AF10" i="13"/>
  <c r="BJ10" i="13" s="1"/>
  <c r="AD9" i="13"/>
  <c r="AE11" i="13"/>
  <c r="AG10" i="13"/>
  <c r="BK10" i="13" s="1"/>
  <c r="AE9" i="13"/>
  <c r="AD11" i="13"/>
  <c r="AC9" i="13"/>
  <c r="BG9" i="13" s="1"/>
  <c r="L16" i="11" l="1"/>
  <c r="L37" i="11"/>
  <c r="L38" i="11"/>
  <c r="L50" i="11"/>
  <c r="L15" i="11"/>
  <c r="X18" i="11" s="1"/>
  <c r="K32" i="11"/>
  <c r="Y42" i="11"/>
  <c r="AK42" i="11" s="1"/>
  <c r="K33" i="11"/>
  <c r="K37" i="11"/>
  <c r="K52" i="11"/>
  <c r="K48" i="11"/>
  <c r="K27" i="11"/>
  <c r="K22" i="11"/>
  <c r="AJ18" i="11"/>
  <c r="AS4" i="28"/>
  <c r="AR4" i="28"/>
  <c r="AQ4" i="28"/>
  <c r="AS44" i="20"/>
  <c r="AS13" i="20"/>
  <c r="AS14" i="20" s="1"/>
  <c r="AS15" i="20" s="1"/>
  <c r="AS16" i="20" s="1"/>
  <c r="AS17" i="20" s="1"/>
  <c r="AS18" i="20" s="1"/>
  <c r="AS19" i="20" s="1"/>
  <c r="AS20" i="20" s="1"/>
  <c r="AR4" i="20"/>
  <c r="AQ4" i="20"/>
  <c r="FJ1" i="20"/>
  <c r="FI123" i="20"/>
  <c r="FI126" i="20"/>
  <c r="FI125" i="20"/>
  <c r="FI124" i="20"/>
  <c r="JB17" i="20"/>
  <c r="JC16" i="20"/>
  <c r="JD16" i="20"/>
  <c r="IX15" i="20"/>
  <c r="JE15" i="20"/>
  <c r="BD11" i="20"/>
  <c r="BT11" i="20"/>
  <c r="BH11" i="20"/>
  <c r="BP11" i="20"/>
  <c r="AZ11" i="20"/>
  <c r="BL11" i="20"/>
  <c r="BB11" i="20"/>
  <c r="Y46" i="11"/>
  <c r="Y41" i="11"/>
  <c r="Y17" i="11"/>
  <c r="Y26" i="11"/>
  <c r="Y44" i="11"/>
  <c r="L24" i="11"/>
  <c r="L45" i="11"/>
  <c r="L53" i="11"/>
  <c r="X53" i="11" s="1"/>
  <c r="L23" i="11"/>
  <c r="L32" i="11"/>
  <c r="L27" i="11"/>
  <c r="L54" i="11"/>
  <c r="X54" i="11" s="1"/>
  <c r="L10" i="11"/>
  <c r="L31" i="11"/>
  <c r="L46" i="11"/>
  <c r="L40" i="11"/>
  <c r="L35" i="11"/>
  <c r="L17" i="11"/>
  <c r="X17" i="11" s="1"/>
  <c r="L20" i="11"/>
  <c r="L39" i="11"/>
  <c r="Y31" i="11"/>
  <c r="L28" i="11"/>
  <c r="L26" i="11"/>
  <c r="L11" i="11"/>
  <c r="L51" i="11"/>
  <c r="X51" i="11" s="1"/>
  <c r="L33" i="11"/>
  <c r="L36" i="11"/>
  <c r="L43" i="11"/>
  <c r="L34" i="11"/>
  <c r="L21" i="11"/>
  <c r="L22" i="11"/>
  <c r="L41" i="11"/>
  <c r="L44" i="11"/>
  <c r="L48" i="11"/>
  <c r="L25" i="11"/>
  <c r="X27" i="11" s="1"/>
  <c r="L47" i="11"/>
  <c r="L42" i="11"/>
  <c r="L29" i="11"/>
  <c r="L30" i="11"/>
  <c r="L49" i="11"/>
  <c r="L52" i="11"/>
  <c r="X52" i="11" s="1"/>
  <c r="Y33" i="11"/>
  <c r="Y11" i="11"/>
  <c r="Y39" i="11"/>
  <c r="Y48" i="11"/>
  <c r="Y32" i="11"/>
  <c r="Y29" i="11"/>
  <c r="Y38" i="11"/>
  <c r="Y43" i="11"/>
  <c r="Y24" i="11"/>
  <c r="Y28" i="11"/>
  <c r="Y34" i="11"/>
  <c r="Y16" i="11"/>
  <c r="Y27" i="11"/>
  <c r="Y23" i="11"/>
  <c r="K45" i="11"/>
  <c r="W48" i="11" s="1"/>
  <c r="Y22" i="11"/>
  <c r="K30" i="11"/>
  <c r="Y21" i="11"/>
  <c r="U11" i="11"/>
  <c r="Y36" i="11"/>
  <c r="Y47" i="11"/>
  <c r="K41" i="11"/>
  <c r="Y37" i="11"/>
  <c r="K35" i="11"/>
  <c r="K38" i="11"/>
  <c r="K49" i="11"/>
  <c r="K40" i="11"/>
  <c r="K26" i="11"/>
  <c r="H18" i="11"/>
  <c r="H48" i="11"/>
  <c r="H40" i="11"/>
  <c r="H32" i="11"/>
  <c r="H24" i="11"/>
  <c r="H10" i="11"/>
  <c r="H53" i="11"/>
  <c r="H45" i="11"/>
  <c r="H37" i="11"/>
  <c r="H29" i="11"/>
  <c r="H21" i="11"/>
  <c r="H39" i="11"/>
  <c r="H31" i="11"/>
  <c r="H23" i="11"/>
  <c r="H50" i="11"/>
  <c r="H42" i="11"/>
  <c r="H34" i="11"/>
  <c r="H26" i="11"/>
  <c r="H16" i="11"/>
  <c r="H47" i="11"/>
  <c r="H52" i="11"/>
  <c r="H44" i="11"/>
  <c r="H36" i="11"/>
  <c r="H28" i="11"/>
  <c r="H20" i="11"/>
  <c r="H54" i="11"/>
  <c r="H46" i="11"/>
  <c r="H30" i="11"/>
  <c r="H49" i="11"/>
  <c r="H41" i="11"/>
  <c r="H33" i="11"/>
  <c r="H25" i="11"/>
  <c r="H15" i="11"/>
  <c r="H11" i="11"/>
  <c r="H38" i="11"/>
  <c r="H22" i="11"/>
  <c r="H27" i="11"/>
  <c r="H43" i="11"/>
  <c r="H17" i="11"/>
  <c r="H35" i="11"/>
  <c r="H51" i="11"/>
  <c r="K43" i="11"/>
  <c r="K46" i="11"/>
  <c r="W46" i="11" s="1"/>
  <c r="K10" i="11"/>
  <c r="K15" i="11"/>
  <c r="W18" i="11" s="1"/>
  <c r="K34" i="11"/>
  <c r="Y49" i="11"/>
  <c r="G18" i="11"/>
  <c r="G51" i="11"/>
  <c r="G43" i="11"/>
  <c r="G35" i="11"/>
  <c r="G27" i="11"/>
  <c r="G17" i="11"/>
  <c r="G50" i="11"/>
  <c r="G48" i="11"/>
  <c r="G40" i="11"/>
  <c r="G32" i="11"/>
  <c r="G24" i="11"/>
  <c r="G10" i="11"/>
  <c r="G34" i="11"/>
  <c r="G53" i="11"/>
  <c r="G45" i="11"/>
  <c r="G37" i="11"/>
  <c r="G29" i="11"/>
  <c r="G21" i="11"/>
  <c r="G42" i="11"/>
  <c r="G26" i="11"/>
  <c r="G16" i="11"/>
  <c r="G47" i="11"/>
  <c r="G39" i="11"/>
  <c r="G31" i="11"/>
  <c r="G23" i="11"/>
  <c r="G41" i="11"/>
  <c r="G25" i="11"/>
  <c r="G52" i="11"/>
  <c r="G44" i="11"/>
  <c r="G36" i="11"/>
  <c r="G28" i="11"/>
  <c r="G20" i="11"/>
  <c r="G49" i="11"/>
  <c r="G33" i="11"/>
  <c r="G15" i="11"/>
  <c r="G11" i="11"/>
  <c r="G46" i="11"/>
  <c r="G38" i="11"/>
  <c r="G22" i="11"/>
  <c r="G30" i="11"/>
  <c r="G54" i="11"/>
  <c r="K51" i="11"/>
  <c r="K20" i="11"/>
  <c r="W22" i="11" s="1"/>
  <c r="K42" i="11"/>
  <c r="U48" i="11"/>
  <c r="U47" i="11"/>
  <c r="U49" i="11"/>
  <c r="U46" i="11"/>
  <c r="K11" i="11"/>
  <c r="K16" i="11"/>
  <c r="K28" i="11"/>
  <c r="K31" i="11"/>
  <c r="K50" i="11"/>
  <c r="Y18" i="11"/>
  <c r="Y53" i="11"/>
  <c r="C18" i="11"/>
  <c r="C49" i="11"/>
  <c r="C41" i="11"/>
  <c r="C33" i="11"/>
  <c r="C25" i="11"/>
  <c r="C16" i="11"/>
  <c r="C32" i="11"/>
  <c r="C24" i="11"/>
  <c r="C15" i="11"/>
  <c r="C54" i="11"/>
  <c r="C46" i="11"/>
  <c r="C38" i="11"/>
  <c r="C30" i="11"/>
  <c r="C22" i="11"/>
  <c r="C48" i="11"/>
  <c r="C40" i="11"/>
  <c r="C51" i="11"/>
  <c r="C43" i="11"/>
  <c r="C35" i="11"/>
  <c r="C27" i="11"/>
  <c r="C53" i="11"/>
  <c r="C45" i="11"/>
  <c r="C37" i="11"/>
  <c r="C29" i="11"/>
  <c r="C21" i="11"/>
  <c r="C11" i="11"/>
  <c r="C47" i="11"/>
  <c r="C31" i="11"/>
  <c r="C50" i="11"/>
  <c r="C42" i="11"/>
  <c r="C34" i="11"/>
  <c r="C26" i="11"/>
  <c r="C17" i="11"/>
  <c r="C39" i="11"/>
  <c r="C23" i="11"/>
  <c r="C20" i="11"/>
  <c r="C36" i="11"/>
  <c r="C52" i="11"/>
  <c r="C10" i="11"/>
  <c r="C28" i="11"/>
  <c r="C44" i="11"/>
  <c r="K54" i="11"/>
  <c r="K23" i="11"/>
  <c r="U38" i="11"/>
  <c r="U37" i="11"/>
  <c r="U39" i="11"/>
  <c r="U36" i="11"/>
  <c r="K21" i="11"/>
  <c r="K29" i="11"/>
  <c r="K17" i="11"/>
  <c r="K36" i="11"/>
  <c r="K39" i="11"/>
  <c r="U18" i="11"/>
  <c r="U16" i="11"/>
  <c r="U17" i="11"/>
  <c r="K53" i="11"/>
  <c r="K24" i="11"/>
  <c r="K25" i="11"/>
  <c r="W27" i="11" s="1"/>
  <c r="K44" i="11"/>
  <c r="K47" i="11"/>
  <c r="U32" i="11"/>
  <c r="U34" i="11"/>
  <c r="U31" i="11"/>
  <c r="U33" i="11"/>
  <c r="U28" i="11"/>
  <c r="U27" i="11"/>
  <c r="U29" i="11"/>
  <c r="U26" i="11"/>
  <c r="U52" i="11"/>
  <c r="U51" i="11"/>
  <c r="U54" i="11"/>
  <c r="U53" i="11"/>
  <c r="Y51" i="11"/>
  <c r="E18" i="11"/>
  <c r="E51" i="11"/>
  <c r="E43" i="11"/>
  <c r="E35" i="11"/>
  <c r="E27" i="11"/>
  <c r="E42" i="11"/>
  <c r="E48" i="11"/>
  <c r="E40" i="11"/>
  <c r="E32" i="11"/>
  <c r="E24" i="11"/>
  <c r="E15" i="11"/>
  <c r="E50" i="11"/>
  <c r="E34" i="11"/>
  <c r="E26" i="11"/>
  <c r="E17" i="11"/>
  <c r="E53" i="11"/>
  <c r="E45" i="11"/>
  <c r="E37" i="11"/>
  <c r="E29" i="11"/>
  <c r="E21" i="11"/>
  <c r="E11" i="11"/>
  <c r="E47" i="11"/>
  <c r="E39" i="11"/>
  <c r="E31" i="11"/>
  <c r="E23" i="11"/>
  <c r="E41" i="11"/>
  <c r="E25" i="11"/>
  <c r="E52" i="11"/>
  <c r="E44" i="11"/>
  <c r="E36" i="11"/>
  <c r="E28" i="11"/>
  <c r="E20" i="11"/>
  <c r="E10" i="11"/>
  <c r="E49" i="11"/>
  <c r="E33" i="11"/>
  <c r="E16" i="11"/>
  <c r="E22" i="11"/>
  <c r="E38" i="11"/>
  <c r="E54" i="11"/>
  <c r="E30" i="11"/>
  <c r="E46" i="11"/>
  <c r="U22" i="11"/>
  <c r="U24" i="11"/>
  <c r="U21" i="11"/>
  <c r="U23" i="11"/>
  <c r="D18" i="11"/>
  <c r="D54" i="11"/>
  <c r="D46" i="11"/>
  <c r="D38" i="11"/>
  <c r="D30" i="11"/>
  <c r="D22" i="11"/>
  <c r="D53" i="11"/>
  <c r="D51" i="11"/>
  <c r="D43" i="11"/>
  <c r="D35" i="11"/>
  <c r="D27" i="11"/>
  <c r="D48" i="11"/>
  <c r="D40" i="11"/>
  <c r="D32" i="11"/>
  <c r="D24" i="11"/>
  <c r="D15" i="11"/>
  <c r="D45" i="11"/>
  <c r="D37" i="11"/>
  <c r="D29" i="11"/>
  <c r="D21" i="11"/>
  <c r="D11" i="11"/>
  <c r="D50" i="11"/>
  <c r="D42" i="11"/>
  <c r="D34" i="11"/>
  <c r="D26" i="11"/>
  <c r="D17" i="11"/>
  <c r="D36" i="11"/>
  <c r="D20" i="11"/>
  <c r="D10" i="11"/>
  <c r="D47" i="11"/>
  <c r="D39" i="11"/>
  <c r="D31" i="11"/>
  <c r="D23" i="11"/>
  <c r="D52" i="11"/>
  <c r="D44" i="11"/>
  <c r="D28" i="11"/>
  <c r="D41" i="11"/>
  <c r="D33" i="11"/>
  <c r="D16" i="11"/>
  <c r="D25" i="11"/>
  <c r="D49" i="11"/>
  <c r="U42" i="11"/>
  <c r="U44" i="11"/>
  <c r="U41" i="11"/>
  <c r="U43" i="11"/>
  <c r="Y54" i="11"/>
  <c r="Y52" i="11"/>
  <c r="X38" i="11"/>
  <c r="BJ11" i="13"/>
  <c r="BH9" i="13"/>
  <c r="BF12" i="13"/>
  <c r="BF9" i="13"/>
  <c r="BI9" i="13"/>
  <c r="BG11" i="13"/>
  <c r="BH11" i="13"/>
  <c r="BF11" i="13"/>
  <c r="BH12" i="13"/>
  <c r="BE11" i="13"/>
  <c r="BI11" i="13"/>
  <c r="BH10" i="13"/>
  <c r="BG10" i="13"/>
  <c r="X16" i="11" l="1"/>
  <c r="W33" i="11"/>
  <c r="AI33" i="11" s="1"/>
  <c r="X36" i="11"/>
  <c r="X11" i="11"/>
  <c r="W43" i="11"/>
  <c r="X26" i="11"/>
  <c r="AJ26" i="11" s="1"/>
  <c r="AJ53" i="11"/>
  <c r="AG23" i="11"/>
  <c r="AG51" i="11"/>
  <c r="AG16" i="11"/>
  <c r="AJ52" i="11"/>
  <c r="AJ36" i="11"/>
  <c r="AG34" i="11"/>
  <c r="AG39" i="11"/>
  <c r="AG48" i="11"/>
  <c r="AK22" i="11"/>
  <c r="AK43" i="11"/>
  <c r="AJ51" i="11"/>
  <c r="AK46" i="11"/>
  <c r="AG24" i="11"/>
  <c r="AG26" i="11"/>
  <c r="AI43" i="11"/>
  <c r="AK23" i="11"/>
  <c r="AK29" i="11"/>
  <c r="X47" i="11"/>
  <c r="X46" i="11"/>
  <c r="AJ38" i="11"/>
  <c r="AK54" i="11"/>
  <c r="AG38" i="11"/>
  <c r="AI22" i="11"/>
  <c r="AJ16" i="11"/>
  <c r="AK52" i="11"/>
  <c r="AG21" i="11"/>
  <c r="AG52" i="11"/>
  <c r="AG32" i="11"/>
  <c r="AG18" i="11"/>
  <c r="AG37" i="11"/>
  <c r="AI46" i="11"/>
  <c r="AK37" i="11"/>
  <c r="AI48" i="11"/>
  <c r="AK38" i="11"/>
  <c r="X49" i="11"/>
  <c r="AK27" i="11"/>
  <c r="AG41" i="11"/>
  <c r="AG27" i="11"/>
  <c r="AI27" i="11"/>
  <c r="AK36" i="11"/>
  <c r="AK16" i="11"/>
  <c r="AK48" i="11"/>
  <c r="AK31" i="11"/>
  <c r="AK44" i="11"/>
  <c r="AG22" i="11"/>
  <c r="AG29" i="11"/>
  <c r="AK47" i="11"/>
  <c r="AJ54" i="11"/>
  <c r="AK32" i="11"/>
  <c r="AG28" i="11"/>
  <c r="AG46" i="11"/>
  <c r="AK49" i="11"/>
  <c r="AK34" i="11"/>
  <c r="AK26" i="11"/>
  <c r="AJ27" i="11"/>
  <c r="AG42" i="11"/>
  <c r="AG53" i="11"/>
  <c r="AG33" i="11"/>
  <c r="AK53" i="11"/>
  <c r="AG49" i="11"/>
  <c r="AK21" i="11"/>
  <c r="AK28" i="11"/>
  <c r="AK17" i="11"/>
  <c r="AG43" i="11"/>
  <c r="AG44" i="11"/>
  <c r="AK51" i="11"/>
  <c r="AK39" i="11"/>
  <c r="AG54" i="11"/>
  <c r="AG31" i="11"/>
  <c r="AG17" i="11"/>
  <c r="AG36" i="11"/>
  <c r="AK18" i="11"/>
  <c r="AG47" i="11"/>
  <c r="AI18" i="11"/>
  <c r="AK24" i="11"/>
  <c r="AK33" i="11"/>
  <c r="AJ17" i="11"/>
  <c r="AK41" i="11"/>
  <c r="AS13" i="28"/>
  <c r="AS44" i="28"/>
  <c r="AR44" i="28"/>
  <c r="AR11" i="28"/>
  <c r="Q10" i="28"/>
  <c r="AQ44" i="28"/>
  <c r="P10" i="28"/>
  <c r="AQ13" i="28"/>
  <c r="AQ14" i="28" s="1"/>
  <c r="AQ15" i="28" s="1"/>
  <c r="AQ16" i="28" s="1"/>
  <c r="AQ17" i="28" s="1"/>
  <c r="AQ18" i="28" s="1"/>
  <c r="AQ19" i="28" s="1"/>
  <c r="AQ20" i="28" s="1"/>
  <c r="P6" i="28" s="1"/>
  <c r="AS21" i="20"/>
  <c r="AS22" i="20" s="1"/>
  <c r="AS23" i="20" s="1"/>
  <c r="AS24" i="20" s="1"/>
  <c r="AS25" i="20" s="1"/>
  <c r="AS26" i="20" s="1"/>
  <c r="AS27" i="20" s="1"/>
  <c r="AS28" i="20" s="1"/>
  <c r="AS29" i="20" s="1"/>
  <c r="AS30" i="20" s="1"/>
  <c r="AS31" i="20" s="1"/>
  <c r="AS32" i="20" s="1"/>
  <c r="AS33" i="20" s="1"/>
  <c r="AS34" i="20" s="1"/>
  <c r="AS35" i="20" s="1"/>
  <c r="AS36" i="20" s="1"/>
  <c r="AS37" i="20" s="1"/>
  <c r="AS38" i="20" s="1"/>
  <c r="AS39" i="20" s="1"/>
  <c r="AS40" i="20" s="1"/>
  <c r="R9" i="20" s="1"/>
  <c r="R8" i="20"/>
  <c r="R6" i="20"/>
  <c r="AR44" i="20"/>
  <c r="AQ13" i="20"/>
  <c r="AQ14" i="20" s="1"/>
  <c r="AQ15" i="20" s="1"/>
  <c r="AQ16" i="20" s="1"/>
  <c r="AQ17" i="20" s="1"/>
  <c r="AQ18" i="20" s="1"/>
  <c r="AQ19" i="20" s="1"/>
  <c r="AQ20" i="20" s="1"/>
  <c r="AQ44" i="20"/>
  <c r="AR11" i="20"/>
  <c r="AR12" i="20" s="1"/>
  <c r="AR13" i="20" s="1"/>
  <c r="AR14" i="20" s="1"/>
  <c r="AR15" i="20" s="1"/>
  <c r="AR16" i="20" s="1"/>
  <c r="AR17" i="20" s="1"/>
  <c r="AR18" i="20" s="1"/>
  <c r="AR19" i="20" s="1"/>
  <c r="AR20" i="20" s="1"/>
  <c r="AS43" i="20"/>
  <c r="FK1" i="20"/>
  <c r="FJ126" i="20"/>
  <c r="FJ125" i="20"/>
  <c r="FJ124" i="20"/>
  <c r="FJ123" i="20"/>
  <c r="JB18" i="20"/>
  <c r="JC17" i="20"/>
  <c r="JD17" i="20"/>
  <c r="JE16" i="20"/>
  <c r="IX16" i="20"/>
  <c r="BF11" i="20"/>
  <c r="X44" i="11"/>
  <c r="X37" i="11"/>
  <c r="X24" i="11"/>
  <c r="X42" i="11"/>
  <c r="X43" i="11"/>
  <c r="X34" i="11"/>
  <c r="X41" i="11"/>
  <c r="X48" i="11"/>
  <c r="X33" i="11"/>
  <c r="X32" i="11"/>
  <c r="X39" i="11"/>
  <c r="X22" i="11"/>
  <c r="X23" i="11"/>
  <c r="X29" i="11"/>
  <c r="X21" i="11"/>
  <c r="X28" i="11"/>
  <c r="X31" i="11"/>
  <c r="P11" i="11"/>
  <c r="W34" i="11"/>
  <c r="W49" i="11"/>
  <c r="W31" i="11"/>
  <c r="W32" i="11"/>
  <c r="W47" i="11"/>
  <c r="W16" i="11"/>
  <c r="W17" i="11"/>
  <c r="W51" i="11"/>
  <c r="W38" i="11"/>
  <c r="W23" i="11"/>
  <c r="W21" i="11"/>
  <c r="W11" i="11"/>
  <c r="W36" i="11"/>
  <c r="W42" i="11"/>
  <c r="W54" i="11"/>
  <c r="W52" i="11"/>
  <c r="W29" i="11"/>
  <c r="W37" i="11"/>
  <c r="O11" i="11"/>
  <c r="W26" i="11"/>
  <c r="W53" i="11"/>
  <c r="W39" i="11"/>
  <c r="W28" i="11"/>
  <c r="O54" i="11"/>
  <c r="AA54" i="11" s="1"/>
  <c r="O51" i="11"/>
  <c r="AA51" i="11" s="1"/>
  <c r="O53" i="11"/>
  <c r="AA53" i="11" s="1"/>
  <c r="O52" i="11"/>
  <c r="AA52" i="11" s="1"/>
  <c r="O34" i="11"/>
  <c r="AA34" i="11" s="1"/>
  <c r="O31" i="11"/>
  <c r="AA31" i="11" s="1"/>
  <c r="O33" i="11"/>
  <c r="AA33" i="11" s="1"/>
  <c r="O32" i="11"/>
  <c r="AA32" i="11" s="1"/>
  <c r="S39" i="11"/>
  <c r="S36" i="11"/>
  <c r="S38" i="11"/>
  <c r="S37" i="11"/>
  <c r="P54" i="11"/>
  <c r="AB54" i="11" s="1"/>
  <c r="P51" i="11"/>
  <c r="AB51" i="11" s="1"/>
  <c r="P53" i="11"/>
  <c r="AB53" i="11" s="1"/>
  <c r="P52" i="11"/>
  <c r="AB52" i="11" s="1"/>
  <c r="Q27" i="11"/>
  <c r="AC27" i="11" s="1"/>
  <c r="Q29" i="11"/>
  <c r="AC29" i="11" s="1"/>
  <c r="Q26" i="11"/>
  <c r="AC26" i="11" s="1"/>
  <c r="Q28" i="11"/>
  <c r="AC28" i="11" s="1"/>
  <c r="O24" i="11"/>
  <c r="AA24" i="11" s="1"/>
  <c r="O21" i="11"/>
  <c r="AA21" i="11" s="1"/>
  <c r="O23" i="11"/>
  <c r="AA23" i="11" s="1"/>
  <c r="O22" i="11"/>
  <c r="AA22" i="11" s="1"/>
  <c r="W24" i="11"/>
  <c r="P44" i="11"/>
  <c r="AB44" i="11" s="1"/>
  <c r="P41" i="11"/>
  <c r="AB41" i="11" s="1"/>
  <c r="P43" i="11"/>
  <c r="AB43" i="11" s="1"/>
  <c r="P42" i="11"/>
  <c r="AB42" i="11" s="1"/>
  <c r="P34" i="11"/>
  <c r="AB34" i="11" s="1"/>
  <c r="P31" i="11"/>
  <c r="AB31" i="11" s="1"/>
  <c r="P33" i="11"/>
  <c r="AB33" i="11" s="1"/>
  <c r="P32" i="11"/>
  <c r="AB32" i="11" s="1"/>
  <c r="O38" i="11"/>
  <c r="AA38" i="11" s="1"/>
  <c r="O37" i="11"/>
  <c r="AA37" i="11" s="1"/>
  <c r="O36" i="11"/>
  <c r="AA36" i="11" s="1"/>
  <c r="O39" i="11"/>
  <c r="AA39" i="11" s="1"/>
  <c r="T18" i="11"/>
  <c r="T16" i="11"/>
  <c r="T17" i="11"/>
  <c r="T22" i="11"/>
  <c r="T24" i="11"/>
  <c r="T21" i="11"/>
  <c r="T23" i="11"/>
  <c r="O28" i="11"/>
  <c r="AA28" i="11" s="1"/>
  <c r="O27" i="11"/>
  <c r="AA27" i="11" s="1"/>
  <c r="O29" i="11"/>
  <c r="AA29" i="11" s="1"/>
  <c r="O26" i="11"/>
  <c r="AA26" i="11" s="1"/>
  <c r="S11" i="11"/>
  <c r="T42" i="11"/>
  <c r="T44" i="11"/>
  <c r="T41" i="11"/>
  <c r="T43" i="11"/>
  <c r="Q18" i="11"/>
  <c r="AC18" i="11" s="1"/>
  <c r="Q17" i="11"/>
  <c r="AC17" i="11" s="1"/>
  <c r="Q16" i="11"/>
  <c r="S17" i="11"/>
  <c r="S16" i="11"/>
  <c r="S29" i="11"/>
  <c r="S26" i="11"/>
  <c r="S28" i="11"/>
  <c r="S27" i="11"/>
  <c r="P24" i="11"/>
  <c r="AB24" i="11" s="1"/>
  <c r="P21" i="11"/>
  <c r="AB21" i="11" s="1"/>
  <c r="P23" i="11"/>
  <c r="AB23" i="11" s="1"/>
  <c r="P22" i="11"/>
  <c r="AB22" i="11" s="1"/>
  <c r="Q11" i="11"/>
  <c r="Q47" i="11"/>
  <c r="AC47" i="11" s="1"/>
  <c r="Q49" i="11"/>
  <c r="AC49" i="11" s="1"/>
  <c r="Q46" i="11"/>
  <c r="AC46" i="11" s="1"/>
  <c r="Q48" i="11"/>
  <c r="AC48" i="11" s="1"/>
  <c r="S42" i="11"/>
  <c r="S44" i="11"/>
  <c r="S41" i="11"/>
  <c r="S43" i="11"/>
  <c r="S18" i="11"/>
  <c r="T36" i="11"/>
  <c r="T38" i="11"/>
  <c r="T37" i="11"/>
  <c r="T39" i="11"/>
  <c r="T26" i="11"/>
  <c r="T28" i="11"/>
  <c r="T27" i="11"/>
  <c r="T29" i="11"/>
  <c r="T46" i="11"/>
  <c r="T48" i="11"/>
  <c r="T47" i="11"/>
  <c r="T49" i="11"/>
  <c r="Q37" i="11"/>
  <c r="AC37" i="11" s="1"/>
  <c r="Q39" i="11"/>
  <c r="AC39" i="11" s="1"/>
  <c r="Q36" i="11"/>
  <c r="AC36" i="11" s="1"/>
  <c r="Q38" i="11"/>
  <c r="AC38" i="11" s="1"/>
  <c r="Q21" i="11"/>
  <c r="AC21" i="11" s="1"/>
  <c r="Q23" i="11"/>
  <c r="AC23" i="11" s="1"/>
  <c r="Q22" i="11"/>
  <c r="AC22" i="11" s="1"/>
  <c r="Q24" i="11"/>
  <c r="AC24" i="11" s="1"/>
  <c r="O18" i="11"/>
  <c r="AA18" i="11" s="1"/>
  <c r="S22" i="11"/>
  <c r="S24" i="11"/>
  <c r="S21" i="11"/>
  <c r="S23" i="11"/>
  <c r="T52" i="11"/>
  <c r="T54" i="11"/>
  <c r="T51" i="11"/>
  <c r="T53" i="11"/>
  <c r="W41" i="11"/>
  <c r="P37" i="11"/>
  <c r="AB37" i="11" s="1"/>
  <c r="P39" i="11"/>
  <c r="AB39" i="11" s="1"/>
  <c r="P36" i="11"/>
  <c r="AB36" i="11" s="1"/>
  <c r="P38" i="11"/>
  <c r="AB38" i="11" s="1"/>
  <c r="O44" i="11"/>
  <c r="AA44" i="11" s="1"/>
  <c r="O41" i="11"/>
  <c r="AA41" i="11" s="1"/>
  <c r="O43" i="11"/>
  <c r="AA43" i="11" s="1"/>
  <c r="O42" i="11"/>
  <c r="AA42" i="11" s="1"/>
  <c r="S49" i="11"/>
  <c r="S46" i="11"/>
  <c r="S48" i="11"/>
  <c r="S47" i="11"/>
  <c r="S52" i="11"/>
  <c r="S54" i="11"/>
  <c r="S53" i="11"/>
  <c r="S51" i="11"/>
  <c r="T11" i="11"/>
  <c r="Q51" i="11"/>
  <c r="AC51" i="11" s="1"/>
  <c r="Q53" i="11"/>
  <c r="AC53" i="11" s="1"/>
  <c r="Q52" i="11"/>
  <c r="AC52" i="11" s="1"/>
  <c r="Q54" i="11"/>
  <c r="AC54" i="11" s="1"/>
  <c r="Q31" i="11"/>
  <c r="AC31" i="11" s="1"/>
  <c r="Q33" i="11"/>
  <c r="AC33" i="11" s="1"/>
  <c r="Q32" i="11"/>
  <c r="AC32" i="11" s="1"/>
  <c r="Q34" i="11"/>
  <c r="AC34" i="11" s="1"/>
  <c r="O16" i="11"/>
  <c r="O17" i="11"/>
  <c r="AA17" i="11" s="1"/>
  <c r="S32" i="11"/>
  <c r="S34" i="11"/>
  <c r="S31" i="11"/>
  <c r="S33" i="11"/>
  <c r="W44" i="11"/>
  <c r="P47" i="11"/>
  <c r="AB47" i="11" s="1"/>
  <c r="P49" i="11"/>
  <c r="AB49" i="11" s="1"/>
  <c r="P46" i="11"/>
  <c r="AB46" i="11" s="1"/>
  <c r="P48" i="11"/>
  <c r="AB48" i="11" s="1"/>
  <c r="Q41" i="11"/>
  <c r="AC41" i="11" s="1"/>
  <c r="Q43" i="11"/>
  <c r="AC43" i="11" s="1"/>
  <c r="Q42" i="11"/>
  <c r="AC42" i="11" s="1"/>
  <c r="Q44" i="11"/>
  <c r="AC44" i="11" s="1"/>
  <c r="P27" i="11"/>
  <c r="AB27" i="11" s="1"/>
  <c r="P29" i="11"/>
  <c r="AB29" i="11" s="1"/>
  <c r="P26" i="11"/>
  <c r="AB26" i="11" s="1"/>
  <c r="P28" i="11"/>
  <c r="AB28" i="11" s="1"/>
  <c r="P18" i="11"/>
  <c r="AB18" i="11" s="1"/>
  <c r="P17" i="11"/>
  <c r="AB17" i="11" s="1"/>
  <c r="P16" i="11"/>
  <c r="O48" i="11"/>
  <c r="AA48" i="11" s="1"/>
  <c r="O47" i="11"/>
  <c r="AA47" i="11" s="1"/>
  <c r="O46" i="11"/>
  <c r="AA46" i="11" s="1"/>
  <c r="O49" i="11"/>
  <c r="AA49" i="11" s="1"/>
  <c r="T32" i="11"/>
  <c r="T34" i="11"/>
  <c r="T31" i="11"/>
  <c r="T33" i="11"/>
  <c r="AF47" i="11" l="1"/>
  <c r="AF16" i="11"/>
  <c r="AJ47" i="11"/>
  <c r="AF34" i="11"/>
  <c r="AE52" i="11"/>
  <c r="AF37" i="11"/>
  <c r="AI39" i="11"/>
  <c r="AI42" i="11"/>
  <c r="AI16" i="11"/>
  <c r="AJ28" i="11"/>
  <c r="AJ48" i="11"/>
  <c r="AF32" i="11"/>
  <c r="AE32" i="11"/>
  <c r="AE47" i="11"/>
  <c r="AF52" i="11"/>
  <c r="AF48" i="11"/>
  <c r="AF38" i="11"/>
  <c r="AE27" i="11"/>
  <c r="AF18" i="11"/>
  <c r="AI53" i="11"/>
  <c r="AI36" i="11"/>
  <c r="AI47" i="11"/>
  <c r="AJ21" i="11"/>
  <c r="AJ41" i="11"/>
  <c r="AI26" i="11"/>
  <c r="AE34" i="11"/>
  <c r="AE48" i="11"/>
  <c r="AE28" i="11"/>
  <c r="AF29" i="11"/>
  <c r="AF41" i="11"/>
  <c r="AE37" i="11"/>
  <c r="AI21" i="11"/>
  <c r="AI31" i="11"/>
  <c r="AJ23" i="11"/>
  <c r="AJ43" i="11"/>
  <c r="AJ49" i="11"/>
  <c r="AE49" i="11"/>
  <c r="AE24" i="11"/>
  <c r="AF27" i="11"/>
  <c r="AE43" i="11"/>
  <c r="AE29" i="11"/>
  <c r="AE38" i="11"/>
  <c r="AI37" i="11"/>
  <c r="AI49" i="11"/>
  <c r="AJ42" i="11"/>
  <c r="AI32" i="11"/>
  <c r="AE21" i="11"/>
  <c r="AE18" i="11"/>
  <c r="AE26" i="11"/>
  <c r="AF23" i="11"/>
  <c r="U4" i="28"/>
  <c r="U4" i="20"/>
  <c r="AF44" i="11"/>
  <c r="AF21" i="11"/>
  <c r="AI23" i="11"/>
  <c r="AJ22" i="11"/>
  <c r="AI44" i="11"/>
  <c r="AE51" i="11"/>
  <c r="AI41" i="11"/>
  <c r="AE22" i="11"/>
  <c r="AF28" i="11"/>
  <c r="AE41" i="11"/>
  <c r="AE16" i="11"/>
  <c r="AF42" i="11"/>
  <c r="AF24" i="11"/>
  <c r="AE36" i="11"/>
  <c r="AI29" i="11"/>
  <c r="AI38" i="11"/>
  <c r="AI34" i="11"/>
  <c r="AJ39" i="11"/>
  <c r="AJ24" i="11"/>
  <c r="AF54" i="11"/>
  <c r="AE23" i="11"/>
  <c r="AF36" i="11"/>
  <c r="AJ29" i="11"/>
  <c r="AE33" i="11"/>
  <c r="J31" i="20" a="1"/>
  <c r="J31" i="20" s="1"/>
  <c r="AF26" i="11"/>
  <c r="AE44" i="11"/>
  <c r="AE17" i="11"/>
  <c r="AF22" i="11"/>
  <c r="AI24" i="11"/>
  <c r="AE39" i="11"/>
  <c r="AI51" i="11"/>
  <c r="AF46" i="11"/>
  <c r="AF43" i="11"/>
  <c r="AJ34" i="11"/>
  <c r="AE46" i="11"/>
  <c r="AF33" i="11"/>
  <c r="AE53" i="11"/>
  <c r="AF53" i="11"/>
  <c r="AI52" i="11"/>
  <c r="AJ32" i="11"/>
  <c r="AJ37" i="11"/>
  <c r="AF31" i="11"/>
  <c r="V4" i="28"/>
  <c r="V4" i="20"/>
  <c r="AE31" i="11"/>
  <c r="AE54" i="11"/>
  <c r="AF51" i="11"/>
  <c r="AF49" i="11"/>
  <c r="AF39" i="11"/>
  <c r="AE42" i="11"/>
  <c r="AF17" i="11"/>
  <c r="AI28" i="11"/>
  <c r="AI54" i="11"/>
  <c r="AI17" i="11"/>
  <c r="AJ31" i="11"/>
  <c r="AJ33" i="11"/>
  <c r="AJ44" i="11"/>
  <c r="AJ46" i="11"/>
  <c r="AS14" i="28"/>
  <c r="AS15" i="28" s="1"/>
  <c r="AS16" i="28" s="1"/>
  <c r="AS17" i="28" s="1"/>
  <c r="AS18" i="28" s="1"/>
  <c r="AS19" i="28" s="1"/>
  <c r="AS20" i="28" s="1"/>
  <c r="AR12" i="28"/>
  <c r="AR13" i="28" s="1"/>
  <c r="AR14" i="28" s="1"/>
  <c r="AR15" i="28" s="1"/>
  <c r="AR16" i="28" s="1"/>
  <c r="AR17" i="28" s="1"/>
  <c r="AR18" i="28" s="1"/>
  <c r="AR19" i="28" s="1"/>
  <c r="AR20" i="28" s="1"/>
  <c r="AQ21" i="28"/>
  <c r="AQ22" i="28" s="1"/>
  <c r="AQ23" i="28" s="1"/>
  <c r="AQ24" i="28" s="1"/>
  <c r="AQ25" i="28" s="1"/>
  <c r="AQ26" i="28" s="1"/>
  <c r="AQ27" i="28" s="1"/>
  <c r="AQ28" i="28" s="1"/>
  <c r="AQ29" i="28" s="1"/>
  <c r="AQ30" i="28" s="1"/>
  <c r="AQ31" i="28" s="1"/>
  <c r="AQ32" i="28" s="1"/>
  <c r="AQ33" i="28" s="1"/>
  <c r="AQ34" i="28" s="1"/>
  <c r="AQ35" i="28" s="1"/>
  <c r="AQ36" i="28" s="1"/>
  <c r="AQ37" i="28" s="1"/>
  <c r="AQ38" i="28" s="1"/>
  <c r="AQ39" i="28" s="1"/>
  <c r="AQ40" i="28" s="1"/>
  <c r="P9" i="28" s="1"/>
  <c r="AQ43" i="28"/>
  <c r="AS42" i="20"/>
  <c r="AQ21" i="20"/>
  <c r="AQ22" i="20" s="1"/>
  <c r="AQ23" i="20" s="1"/>
  <c r="AQ24" i="20" s="1"/>
  <c r="AQ25" i="20" s="1"/>
  <c r="AQ26" i="20" s="1"/>
  <c r="AQ27" i="20" s="1"/>
  <c r="AQ28" i="20" s="1"/>
  <c r="AQ29" i="20" s="1"/>
  <c r="AQ30" i="20" s="1"/>
  <c r="AQ31" i="20" s="1"/>
  <c r="AQ32" i="20" s="1"/>
  <c r="AQ33" i="20" s="1"/>
  <c r="AQ34" i="20" s="1"/>
  <c r="AQ35" i="20" s="1"/>
  <c r="AQ36" i="20" s="1"/>
  <c r="AQ37" i="20" s="1"/>
  <c r="AQ38" i="20" s="1"/>
  <c r="AQ39" i="20" s="1"/>
  <c r="AQ40" i="20" s="1"/>
  <c r="P9" i="20" s="1"/>
  <c r="P6" i="20"/>
  <c r="P8" i="20"/>
  <c r="AR21" i="20"/>
  <c r="AR22" i="20" s="1"/>
  <c r="AR23" i="20" s="1"/>
  <c r="AR24" i="20" s="1"/>
  <c r="AR25" i="20" s="1"/>
  <c r="AR26" i="20" s="1"/>
  <c r="AR27" i="20" s="1"/>
  <c r="AR28" i="20" s="1"/>
  <c r="AR29" i="20" s="1"/>
  <c r="AR30" i="20" s="1"/>
  <c r="AR31" i="20" s="1"/>
  <c r="AR32" i="20" s="1"/>
  <c r="AR33" i="20" s="1"/>
  <c r="AR34" i="20" s="1"/>
  <c r="AR35" i="20" s="1"/>
  <c r="AR36" i="20" s="1"/>
  <c r="AR37" i="20" s="1"/>
  <c r="AR38" i="20" s="1"/>
  <c r="AR39" i="20" s="1"/>
  <c r="AR40" i="20" s="1"/>
  <c r="Q6" i="20"/>
  <c r="Q8" i="20"/>
  <c r="AQ43" i="20"/>
  <c r="R10" i="20"/>
  <c r="FK126" i="20"/>
  <c r="FK125" i="20"/>
  <c r="FK124" i="20"/>
  <c r="FK123" i="20"/>
  <c r="JB19" i="20"/>
  <c r="JC18" i="20"/>
  <c r="JD18" i="20"/>
  <c r="JE17" i="20"/>
  <c r="IX17" i="20"/>
  <c r="BR11" i="20"/>
  <c r="BV11" i="20"/>
  <c r="BJ11" i="20"/>
  <c r="BN11" i="20"/>
  <c r="AA16" i="11"/>
  <c r="AB16" i="11"/>
  <c r="AC16" i="11"/>
  <c r="H31" i="20" l="1" a="1"/>
  <c r="H31" i="20" s="1"/>
  <c r="AW4" i="20"/>
  <c r="I31" i="20" a="1"/>
  <c r="I31" i="20" s="1"/>
  <c r="AW4" i="28"/>
  <c r="AW44" i="28" s="1"/>
  <c r="AW5" i="28"/>
  <c r="AV5" i="28"/>
  <c r="AV4" i="28"/>
  <c r="AV44" i="28" s="1"/>
  <c r="AV4" i="20"/>
  <c r="T4" i="20"/>
  <c r="T4" i="28"/>
  <c r="R10" i="28"/>
  <c r="AS43" i="28"/>
  <c r="AS21" i="28"/>
  <c r="AS22" i="28" s="1"/>
  <c r="AS23" i="28" s="1"/>
  <c r="AS24" i="28" s="1"/>
  <c r="AS25" i="28" s="1"/>
  <c r="AS26" i="28" s="1"/>
  <c r="AS27" i="28" s="1"/>
  <c r="AS28" i="28" s="1"/>
  <c r="AS29" i="28" s="1"/>
  <c r="AS30" i="28" s="1"/>
  <c r="AS31" i="28" s="1"/>
  <c r="AS32" i="28" s="1"/>
  <c r="AS33" i="28" s="1"/>
  <c r="AS34" i="28" s="1"/>
  <c r="AS35" i="28" s="1"/>
  <c r="AS36" i="28" s="1"/>
  <c r="AS37" i="28" s="1"/>
  <c r="AS38" i="28" s="1"/>
  <c r="AS39" i="28" s="1"/>
  <c r="AS40" i="28" s="1"/>
  <c r="R9" i="28" s="1"/>
  <c r="R6" i="28"/>
  <c r="AR43" i="28"/>
  <c r="Q6" i="28"/>
  <c r="AR21" i="28"/>
  <c r="AR22" i="28" s="1"/>
  <c r="AR23" i="28" s="1"/>
  <c r="AR24" i="28" s="1"/>
  <c r="AR25" i="28" s="1"/>
  <c r="AR26" i="28" s="1"/>
  <c r="AR27" i="28" s="1"/>
  <c r="AR28" i="28" s="1"/>
  <c r="AR29" i="28" s="1"/>
  <c r="AR30" i="28" s="1"/>
  <c r="AR31" i="28" s="1"/>
  <c r="AR32" i="28" s="1"/>
  <c r="AR33" i="28" s="1"/>
  <c r="AR34" i="28" s="1"/>
  <c r="AR35" i="28" s="1"/>
  <c r="AR36" i="28" s="1"/>
  <c r="AR37" i="28" s="1"/>
  <c r="AR38" i="28" s="1"/>
  <c r="AR39" i="28" s="1"/>
  <c r="AR40" i="28" s="1"/>
  <c r="Q9" i="28" s="1"/>
  <c r="AQ42" i="28"/>
  <c r="AQ42" i="20"/>
  <c r="P10" i="20"/>
  <c r="AR43" i="20"/>
  <c r="JB20" i="20"/>
  <c r="JC19" i="20"/>
  <c r="JD19" i="20"/>
  <c r="JE18" i="20"/>
  <c r="IX18" i="20"/>
  <c r="AV11" i="28" l="1"/>
  <c r="AV12" i="28" s="1"/>
  <c r="AV13" i="28" s="1"/>
  <c r="AV14" i="28" s="1"/>
  <c r="AV15" i="28" s="1"/>
  <c r="AV16" i="28" s="1"/>
  <c r="AV17" i="28" s="1"/>
  <c r="AV18" i="28" s="1"/>
  <c r="AV19" i="28" s="1"/>
  <c r="AV20" i="28" s="1"/>
  <c r="AU4" i="28"/>
  <c r="AU44" i="28" s="1"/>
  <c r="AU5" i="28"/>
  <c r="AU4" i="20"/>
  <c r="AW11" i="28"/>
  <c r="AV44" i="20"/>
  <c r="AV11" i="20"/>
  <c r="AW44" i="20"/>
  <c r="AW11" i="20"/>
  <c r="AS42" i="28"/>
  <c r="AR42" i="28"/>
  <c r="JB21" i="20"/>
  <c r="JC20" i="20"/>
  <c r="JD20" i="20"/>
  <c r="JE19" i="20"/>
  <c r="IX19" i="20"/>
  <c r="AU11" i="28" l="1"/>
  <c r="AU12" i="28" s="1"/>
  <c r="AV43" i="28"/>
  <c r="AW12" i="20"/>
  <c r="AW13" i="20" s="1"/>
  <c r="AW14" i="20" s="1"/>
  <c r="AW15" i="20" s="1"/>
  <c r="AW16" i="20" s="1"/>
  <c r="AW17" i="20" s="1"/>
  <c r="AW18" i="20" s="1"/>
  <c r="AW19" i="20" s="1"/>
  <c r="AW20" i="20" s="1"/>
  <c r="AV21" i="28"/>
  <c r="AV22" i="28" s="1"/>
  <c r="AV23" i="28" s="1"/>
  <c r="AV24" i="28" s="1"/>
  <c r="AV25" i="28" s="1"/>
  <c r="AV26" i="28" s="1"/>
  <c r="AV27" i="28" s="1"/>
  <c r="AV28" i="28" s="1"/>
  <c r="AV29" i="28" s="1"/>
  <c r="AV30" i="28" s="1"/>
  <c r="AV31" i="28" s="1"/>
  <c r="AV32" i="28" s="1"/>
  <c r="AV33" i="28" s="1"/>
  <c r="AV34" i="28" s="1"/>
  <c r="AV35" i="28" s="1"/>
  <c r="AV36" i="28" s="1"/>
  <c r="AV37" i="28" s="1"/>
  <c r="AV38" i="28" s="1"/>
  <c r="AV39" i="28" s="1"/>
  <c r="AV40" i="28" s="1"/>
  <c r="U9" i="28" s="1"/>
  <c r="U6" i="28"/>
  <c r="AW12" i="28"/>
  <c r="AW13" i="28" s="1"/>
  <c r="AW14" i="28" s="1"/>
  <c r="AW15" i="28" s="1"/>
  <c r="AW16" i="28" s="1"/>
  <c r="AW17" i="28" s="1"/>
  <c r="AW18" i="28" s="1"/>
  <c r="AW19" i="28" s="1"/>
  <c r="AW20" i="28" s="1"/>
  <c r="AU44" i="20"/>
  <c r="AU11" i="20"/>
  <c r="AV12" i="20"/>
  <c r="AV13" i="20" s="1"/>
  <c r="AV14" i="20" s="1"/>
  <c r="AV15" i="20" s="1"/>
  <c r="AV16" i="20" s="1"/>
  <c r="AV17" i="20" s="1"/>
  <c r="AV18" i="20" s="1"/>
  <c r="AV19" i="20" s="1"/>
  <c r="AV20" i="20" s="1"/>
  <c r="U10" i="28"/>
  <c r="JB22" i="20"/>
  <c r="JC21" i="20"/>
  <c r="JD21" i="20"/>
  <c r="JE20" i="20"/>
  <c r="IX20" i="20"/>
  <c r="AV42" i="28" l="1"/>
  <c r="AW43" i="20"/>
  <c r="AU13" i="28"/>
  <c r="AV43" i="20"/>
  <c r="V10" i="28"/>
  <c r="U8" i="20"/>
  <c r="U6" i="20"/>
  <c r="AV21" i="20"/>
  <c r="AV22" i="20" s="1"/>
  <c r="AV23" i="20" s="1"/>
  <c r="AV24" i="20" s="1"/>
  <c r="AV25" i="20" s="1"/>
  <c r="AV26" i="20" s="1"/>
  <c r="AV27" i="20" s="1"/>
  <c r="AV28" i="20" s="1"/>
  <c r="AV29" i="20" s="1"/>
  <c r="AV30" i="20" s="1"/>
  <c r="AV31" i="20" s="1"/>
  <c r="AV32" i="20" s="1"/>
  <c r="AV33" i="20" s="1"/>
  <c r="AV34" i="20" s="1"/>
  <c r="AV35" i="20" s="1"/>
  <c r="AV36" i="20" s="1"/>
  <c r="AV37" i="20" s="1"/>
  <c r="AV38" i="20" s="1"/>
  <c r="V8" i="20"/>
  <c r="V6" i="20"/>
  <c r="AW21" i="20"/>
  <c r="AW22" i="20" s="1"/>
  <c r="AW23" i="20" s="1"/>
  <c r="AW24" i="20" s="1"/>
  <c r="AW25" i="20" s="1"/>
  <c r="AW26" i="20" s="1"/>
  <c r="AW27" i="20" s="1"/>
  <c r="AW28" i="20" s="1"/>
  <c r="AW29" i="20" s="1"/>
  <c r="AW30" i="20" s="1"/>
  <c r="AW31" i="20" s="1"/>
  <c r="AW32" i="20" s="1"/>
  <c r="AW33" i="20" s="1"/>
  <c r="AW34" i="20" s="1"/>
  <c r="AW35" i="20" s="1"/>
  <c r="AW36" i="20" s="1"/>
  <c r="AW37" i="20" s="1"/>
  <c r="AW38" i="20" s="1"/>
  <c r="AW39" i="20" s="1"/>
  <c r="AW40" i="20" s="1"/>
  <c r="V9" i="20" s="1"/>
  <c r="V10" i="20" s="1"/>
  <c r="AU12" i="20"/>
  <c r="AW43" i="28"/>
  <c r="V6" i="28"/>
  <c r="AW21" i="28"/>
  <c r="AW22" i="28" s="1"/>
  <c r="AW23" i="28" s="1"/>
  <c r="AW24" i="28" s="1"/>
  <c r="AW25" i="28" s="1"/>
  <c r="AW26" i="28" s="1"/>
  <c r="AW27" i="28" s="1"/>
  <c r="AW28" i="28" s="1"/>
  <c r="AW29" i="28" s="1"/>
  <c r="AW30" i="28" s="1"/>
  <c r="AW31" i="28" s="1"/>
  <c r="AW32" i="28" s="1"/>
  <c r="AW33" i="28" s="1"/>
  <c r="AW34" i="28" s="1"/>
  <c r="AW35" i="28" s="1"/>
  <c r="AW36" i="28" s="1"/>
  <c r="AW37" i="28" s="1"/>
  <c r="AW38" i="28" s="1"/>
  <c r="AW39" i="28" s="1"/>
  <c r="AW40" i="28" s="1"/>
  <c r="V9" i="28" s="1"/>
  <c r="JB23" i="20"/>
  <c r="JC22" i="20"/>
  <c r="JD22" i="20"/>
  <c r="JE21" i="20"/>
  <c r="IX21" i="20"/>
  <c r="AV39" i="20" l="1"/>
  <c r="AV40" i="20" s="1"/>
  <c r="U9" i="20" s="1"/>
  <c r="U10" i="20" s="1"/>
  <c r="AU13" i="20"/>
  <c r="T10" i="28"/>
  <c r="AU14" i="28"/>
  <c r="AW42" i="28"/>
  <c r="AW42" i="20"/>
  <c r="JB24" i="20"/>
  <c r="JC23" i="20"/>
  <c r="JD23" i="20"/>
  <c r="JE22" i="20"/>
  <c r="IX22" i="20"/>
  <c r="AV42" i="20" l="1"/>
  <c r="AU15" i="28"/>
  <c r="AU14" i="20"/>
  <c r="JB25" i="20"/>
  <c r="JC24" i="20"/>
  <c r="JD24" i="20"/>
  <c r="IX23" i="20"/>
  <c r="JE23" i="20"/>
  <c r="AU16" i="28" l="1"/>
  <c r="AU15" i="20"/>
  <c r="JB26" i="20"/>
  <c r="JC25" i="20"/>
  <c r="JD25" i="20"/>
  <c r="JE24" i="20"/>
  <c r="IX24" i="20"/>
  <c r="AU17" i="28" l="1"/>
  <c r="AU16" i="20"/>
  <c r="JB27" i="20"/>
  <c r="JC26" i="20"/>
  <c r="JD26" i="20"/>
  <c r="JE25" i="20"/>
  <c r="IX25" i="20"/>
  <c r="AU17" i="20" l="1"/>
  <c r="AU18" i="28"/>
  <c r="Q9" i="20"/>
  <c r="Q10" i="20" s="1"/>
  <c r="AR42" i="20"/>
  <c r="JB28" i="20"/>
  <c r="JC27" i="20"/>
  <c r="JD27" i="20"/>
  <c r="JE26" i="20"/>
  <c r="IX26" i="20"/>
  <c r="AU18" i="20" l="1"/>
  <c r="AU19" i="28"/>
  <c r="JB29" i="20"/>
  <c r="JC28" i="20"/>
  <c r="JD28" i="20"/>
  <c r="JE27" i="20"/>
  <c r="IX27" i="20"/>
  <c r="AU20" i="28" l="1"/>
  <c r="AU43" i="28" s="1"/>
  <c r="AU19" i="20"/>
  <c r="JB30" i="20"/>
  <c r="JC29" i="20"/>
  <c r="JD29" i="20"/>
  <c r="JE28" i="20"/>
  <c r="IX28" i="20"/>
  <c r="AU20" i="20" l="1"/>
  <c r="T6" i="28"/>
  <c r="AU21" i="28"/>
  <c r="JB31" i="20"/>
  <c r="JC30" i="20"/>
  <c r="JD30" i="20"/>
  <c r="JE29" i="20"/>
  <c r="IX29" i="20"/>
  <c r="AU22" i="28" l="1"/>
  <c r="T6" i="20"/>
  <c r="T8" i="20"/>
  <c r="AU21" i="20"/>
  <c r="AU43" i="20"/>
  <c r="JB32" i="20"/>
  <c r="JC31" i="20"/>
  <c r="JD31" i="20"/>
  <c r="JE30" i="20"/>
  <c r="IX30" i="20"/>
  <c r="AU22" i="20" l="1"/>
  <c r="AU23" i="28"/>
  <c r="JB33" i="20"/>
  <c r="JC32" i="20"/>
  <c r="JD32" i="20"/>
  <c r="IX31" i="20"/>
  <c r="JE31" i="20"/>
  <c r="AU24" i="28" l="1"/>
  <c r="AU23" i="20"/>
  <c r="JB34" i="20"/>
  <c r="JC33" i="20"/>
  <c r="JD33" i="20"/>
  <c r="JE32" i="20"/>
  <c r="IX32" i="20"/>
  <c r="AU24" i="20" l="1"/>
  <c r="AU25" i="28"/>
  <c r="JB35" i="20"/>
  <c r="JC34" i="20"/>
  <c r="JD34" i="20"/>
  <c r="JE33" i="20"/>
  <c r="IX33" i="20"/>
  <c r="AU26" i="28" l="1"/>
  <c r="AU25" i="20"/>
  <c r="JB36" i="20"/>
  <c r="JC35" i="20"/>
  <c r="JD35" i="20"/>
  <c r="JE34" i="20"/>
  <c r="IX34" i="20"/>
  <c r="AU26" i="20" l="1"/>
  <c r="AU27" i="28"/>
  <c r="JB37" i="20"/>
  <c r="JC36" i="20"/>
  <c r="JD36" i="20"/>
  <c r="JE35" i="20"/>
  <c r="IX35" i="20"/>
  <c r="AU27" i="20" l="1"/>
  <c r="AU28" i="28"/>
  <c r="JB38" i="20"/>
  <c r="JC37" i="20"/>
  <c r="JD37" i="20"/>
  <c r="JE36" i="20"/>
  <c r="IX36" i="20"/>
  <c r="AU29" i="28" l="1"/>
  <c r="AU28" i="20"/>
  <c r="JB39" i="20"/>
  <c r="JC38" i="20"/>
  <c r="JD38" i="20"/>
  <c r="JE37" i="20"/>
  <c r="IX37" i="20"/>
  <c r="AU29" i="20" l="1"/>
  <c r="AU30" i="28"/>
  <c r="JB40" i="20"/>
  <c r="JC39" i="20"/>
  <c r="JD39" i="20"/>
  <c r="JE38" i="20"/>
  <c r="IX38" i="20"/>
  <c r="AU30" i="20" l="1"/>
  <c r="AU31" i="28"/>
  <c r="IX39" i="20"/>
  <c r="IX40" i="20"/>
  <c r="JE39" i="20"/>
  <c r="AU31" i="20" l="1"/>
  <c r="AU32" i="28"/>
  <c r="AU32" i="20" l="1"/>
  <c r="AU33" i="28"/>
  <c r="AU34" i="28" l="1"/>
  <c r="AU33" i="20"/>
  <c r="AU35" i="28" l="1"/>
  <c r="AU34" i="20"/>
  <c r="AU35" i="20" l="1"/>
  <c r="AU36" i="28"/>
  <c r="AU37" i="28" l="1"/>
  <c r="AU36" i="20"/>
  <c r="AU38" i="28" l="1"/>
  <c r="AU37" i="20"/>
  <c r="AU38" i="20" l="1"/>
  <c r="AU39" i="20" s="1"/>
  <c r="AU40" i="20" s="1"/>
  <c r="T9" i="20" s="1"/>
  <c r="T10" i="20" s="1"/>
  <c r="AU39" i="28"/>
  <c r="AU40" i="28" l="1"/>
  <c r="AU42" i="20"/>
  <c r="T9" i="28" l="1"/>
  <c r="AU42" i="28"/>
  <c r="M28" i="8" l="1"/>
  <c r="M27" i="8"/>
  <c r="M26" i="8"/>
  <c r="M25" i="8"/>
  <c r="M24" i="8"/>
  <c r="M22" i="8"/>
  <c r="M21" i="8"/>
  <c r="M20" i="8"/>
  <c r="M19" i="8"/>
  <c r="M18" i="8"/>
  <c r="M17" i="8"/>
  <c r="M16" i="8"/>
  <c r="M15" i="8"/>
  <c r="M14" i="8"/>
  <c r="M13" i="8"/>
  <c r="M12" i="8"/>
  <c r="K28" i="8"/>
  <c r="K27" i="8"/>
  <c r="K26" i="8"/>
  <c r="K25" i="8"/>
  <c r="K24" i="8"/>
  <c r="K22" i="8"/>
  <c r="K21" i="8"/>
  <c r="K20" i="8"/>
  <c r="K19" i="8"/>
  <c r="K18" i="8"/>
  <c r="K17" i="8"/>
  <c r="K16" i="8"/>
  <c r="K15" i="8"/>
  <c r="K14" i="8"/>
  <c r="K13" i="8"/>
  <c r="K12" i="8"/>
  <c r="E25" i="4"/>
  <c r="D25" i="4"/>
  <c r="C25" i="4"/>
  <c r="E20" i="4"/>
  <c r="D20" i="4"/>
  <c r="C20" i="4"/>
  <c r="E15" i="4"/>
  <c r="D15" i="4"/>
  <c r="C15" i="4"/>
  <c r="E10" i="4"/>
  <c r="D10" i="4"/>
  <c r="C10" i="4"/>
  <c r="E25" i="2"/>
  <c r="E20" i="2"/>
  <c r="E15" i="2"/>
  <c r="E10" i="2"/>
  <c r="D25" i="2"/>
  <c r="D20" i="2"/>
  <c r="D15" i="2"/>
  <c r="D10" i="2"/>
  <c r="H15" i="4" l="1"/>
  <c r="I15" i="4"/>
  <c r="G20" i="4"/>
  <c r="H20" i="4"/>
  <c r="I20" i="4"/>
  <c r="G25" i="4"/>
  <c r="H25" i="4"/>
  <c r="G15" i="4"/>
  <c r="I25" i="4"/>
  <c r="G10" i="4"/>
  <c r="H10" i="4"/>
  <c r="I10" i="4"/>
  <c r="I20" i="2"/>
  <c r="H20" i="2"/>
  <c r="I26" i="2"/>
  <c r="I25" i="2"/>
  <c r="H25" i="2"/>
  <c r="G26" i="2"/>
  <c r="G25" i="2"/>
  <c r="H26" i="2"/>
  <c r="J16" i="35" s="1" a="1"/>
  <c r="J16" i="35" s="1"/>
  <c r="G20" i="2"/>
  <c r="I15" i="2"/>
  <c r="G15" i="2"/>
  <c r="H15" i="2"/>
  <c r="G10" i="2"/>
  <c r="I10" i="2"/>
  <c r="H10" i="2"/>
  <c r="O4" i="35" l="1"/>
  <c r="J16" i="28" a="1"/>
  <c r="J16" i="28" s="1"/>
  <c r="O4" i="28" s="1"/>
  <c r="J16" i="20" a="1"/>
  <c r="J16" i="20" s="1"/>
  <c r="O4" i="20" s="1"/>
  <c r="H16" i="28" a="1"/>
  <c r="H16" i="28" s="1"/>
  <c r="H16" i="20" a="1"/>
  <c r="H16" i="20" s="1"/>
  <c r="I16" i="20" a="1"/>
  <c r="I16" i="20" s="1"/>
  <c r="I16" i="28" a="1"/>
  <c r="I16" i="28" s="1"/>
  <c r="B25" i="13"/>
  <c r="E27" i="13" s="1"/>
  <c r="B29" i="13"/>
  <c r="E31" i="13" s="1"/>
  <c r="B13" i="13"/>
  <c r="E15" i="13" s="1"/>
  <c r="B21" i="13"/>
  <c r="E23" i="13" s="1"/>
  <c r="B17" i="13"/>
  <c r="E19" i="13" s="1"/>
  <c r="B33" i="13"/>
  <c r="B37" i="13"/>
  <c r="B41" i="13"/>
  <c r="B45" i="13"/>
  <c r="AP4" i="35" l="1"/>
  <c r="AP4" i="20"/>
  <c r="AP4" i="28"/>
  <c r="E29" i="13"/>
  <c r="AA29" i="13" s="1"/>
  <c r="E48" i="13"/>
  <c r="E47" i="13"/>
  <c r="E46" i="13"/>
  <c r="R46" i="13" s="1"/>
  <c r="E45" i="13"/>
  <c r="E25" i="13"/>
  <c r="AB25" i="13" s="1"/>
  <c r="BF25" i="13" s="1"/>
  <c r="E41" i="13"/>
  <c r="AE41" i="13" s="1"/>
  <c r="E44" i="13"/>
  <c r="L44" i="13" s="1"/>
  <c r="E43" i="13"/>
  <c r="E42" i="13"/>
  <c r="E32" i="13"/>
  <c r="E40" i="13"/>
  <c r="E39" i="13"/>
  <c r="E38" i="13"/>
  <c r="E37" i="13"/>
  <c r="E18" i="13"/>
  <c r="S18" i="13" s="1"/>
  <c r="BE29" i="13"/>
  <c r="Z31" i="13"/>
  <c r="AC31" i="13"/>
  <c r="I31" i="13"/>
  <c r="AG31" i="13"/>
  <c r="V31" i="13"/>
  <c r="P31" i="13"/>
  <c r="H31" i="13"/>
  <c r="T31" i="13"/>
  <c r="O31" i="13"/>
  <c r="F31" i="13"/>
  <c r="AA31" i="13"/>
  <c r="G31" i="13"/>
  <c r="AF31" i="13"/>
  <c r="N31" i="13"/>
  <c r="Y31" i="13"/>
  <c r="AE31" i="13"/>
  <c r="Q31" i="13"/>
  <c r="M31" i="13"/>
  <c r="K31" i="13"/>
  <c r="X31" i="13"/>
  <c r="S31" i="13"/>
  <c r="W31" i="13"/>
  <c r="AB31" i="13"/>
  <c r="L31" i="13"/>
  <c r="J31" i="13"/>
  <c r="R31" i="13"/>
  <c r="AD31" i="13"/>
  <c r="U31" i="13"/>
  <c r="G27" i="13"/>
  <c r="P27" i="13"/>
  <c r="Y27" i="13"/>
  <c r="W27" i="13"/>
  <c r="X27" i="13"/>
  <c r="R27" i="13"/>
  <c r="M27" i="13"/>
  <c r="N27" i="13"/>
  <c r="H27" i="13"/>
  <c r="AB27" i="13"/>
  <c r="O27" i="13"/>
  <c r="L27" i="13"/>
  <c r="AG27" i="13"/>
  <c r="T27" i="13"/>
  <c r="AE27" i="13"/>
  <c r="K27" i="13"/>
  <c r="AD27" i="13"/>
  <c r="AC27" i="13"/>
  <c r="Q27" i="13"/>
  <c r="Z27" i="13"/>
  <c r="AA27" i="13"/>
  <c r="J27" i="13"/>
  <c r="U27" i="13"/>
  <c r="S27" i="13"/>
  <c r="V27" i="13"/>
  <c r="F27" i="13"/>
  <c r="AF27" i="13"/>
  <c r="I27" i="13"/>
  <c r="N19" i="13"/>
  <c r="I19" i="13"/>
  <c r="L19" i="13"/>
  <c r="P19" i="13"/>
  <c r="W19" i="13"/>
  <c r="M19" i="13"/>
  <c r="AB19" i="13"/>
  <c r="V19" i="13"/>
  <c r="AF19" i="13"/>
  <c r="T19" i="13"/>
  <c r="AD19" i="13"/>
  <c r="K19" i="13"/>
  <c r="X19" i="13"/>
  <c r="F19" i="13"/>
  <c r="AA19" i="13"/>
  <c r="S19" i="13"/>
  <c r="U19" i="13"/>
  <c r="J19" i="13"/>
  <c r="Z19" i="13"/>
  <c r="AE19" i="13"/>
  <c r="Y19" i="13"/>
  <c r="O19" i="13"/>
  <c r="G19" i="13"/>
  <c r="Q19" i="13"/>
  <c r="AG19" i="13"/>
  <c r="R19" i="13"/>
  <c r="H19" i="13"/>
  <c r="AC19" i="13"/>
  <c r="O15" i="13"/>
  <c r="P15" i="13"/>
  <c r="U15" i="13"/>
  <c r="Y15" i="13"/>
  <c r="AA15" i="13"/>
  <c r="J15" i="13"/>
  <c r="S15" i="13"/>
  <c r="T15" i="13"/>
  <c r="V15" i="13"/>
  <c r="R15" i="13"/>
  <c r="N15" i="13"/>
  <c r="AB15" i="13"/>
  <c r="Q15" i="13"/>
  <c r="AF15" i="13"/>
  <c r="W15" i="13"/>
  <c r="X15" i="13"/>
  <c r="F15" i="13"/>
  <c r="K15" i="13"/>
  <c r="H15" i="13"/>
  <c r="M15" i="13"/>
  <c r="AC15" i="13"/>
  <c r="I15" i="13"/>
  <c r="L15" i="13"/>
  <c r="Z15" i="13"/>
  <c r="G15" i="13"/>
  <c r="AG15" i="13"/>
  <c r="AD15" i="13"/>
  <c r="AE15" i="13"/>
  <c r="I23" i="13"/>
  <c r="Z23" i="13"/>
  <c r="H23" i="13"/>
  <c r="AG23" i="13"/>
  <c r="K23" i="13"/>
  <c r="G23" i="13"/>
  <c r="V23" i="13"/>
  <c r="AD23" i="13"/>
  <c r="AA23" i="13"/>
  <c r="S23" i="13"/>
  <c r="X23" i="13"/>
  <c r="W23" i="13"/>
  <c r="J23" i="13"/>
  <c r="AE23" i="13"/>
  <c r="T23" i="13"/>
  <c r="N23" i="13"/>
  <c r="U23" i="13"/>
  <c r="AF23" i="13"/>
  <c r="L23" i="13"/>
  <c r="P23" i="13"/>
  <c r="Y23" i="13"/>
  <c r="O23" i="13"/>
  <c r="R23" i="13"/>
  <c r="M23" i="13"/>
  <c r="Q23" i="13"/>
  <c r="AB23" i="13"/>
  <c r="AC23" i="13"/>
  <c r="F23" i="13"/>
  <c r="H41" i="13"/>
  <c r="I41" i="13"/>
  <c r="S41" i="13"/>
  <c r="AD41" i="13"/>
  <c r="AG41" i="13"/>
  <c r="Y41" i="13"/>
  <c r="O41" i="13"/>
  <c r="W41" i="13"/>
  <c r="K41" i="13"/>
  <c r="X41" i="13"/>
  <c r="T41" i="13"/>
  <c r="L41" i="13"/>
  <c r="J41" i="13"/>
  <c r="AA41" i="13"/>
  <c r="AF41" i="13"/>
  <c r="G41" i="13"/>
  <c r="N41" i="13"/>
  <c r="Z41" i="13"/>
  <c r="R41" i="13"/>
  <c r="U41" i="13"/>
  <c r="F41" i="13"/>
  <c r="Q41" i="13"/>
  <c r="AB41" i="13"/>
  <c r="AC41" i="13"/>
  <c r="E30" i="13"/>
  <c r="E14" i="13"/>
  <c r="E24" i="13"/>
  <c r="AC29" i="13"/>
  <c r="AA32" i="13"/>
  <c r="N32" i="13"/>
  <c r="Y32" i="13"/>
  <c r="T32" i="13"/>
  <c r="Q32" i="13"/>
  <c r="K32" i="13"/>
  <c r="AD32" i="13"/>
  <c r="G32" i="13"/>
  <c r="S32" i="13"/>
  <c r="AG32" i="13"/>
  <c r="H32" i="13"/>
  <c r="F32" i="13"/>
  <c r="R32" i="13"/>
  <c r="X32" i="13"/>
  <c r="L32" i="13"/>
  <c r="O32" i="13"/>
  <c r="AC32" i="13"/>
  <c r="I32" i="13"/>
  <c r="P32" i="13"/>
  <c r="AB32" i="13"/>
  <c r="U32" i="13"/>
  <c r="J32" i="13"/>
  <c r="Z32" i="13"/>
  <c r="G45" i="13"/>
  <c r="AE45" i="13"/>
  <c r="S45" i="13"/>
  <c r="K45" i="13"/>
  <c r="AC45" i="13"/>
  <c r="H45" i="13"/>
  <c r="V45" i="13"/>
  <c r="M45" i="13"/>
  <c r="P45" i="13"/>
  <c r="Y45" i="13"/>
  <c r="X45" i="13"/>
  <c r="J45" i="13"/>
  <c r="L45" i="13"/>
  <c r="Z45" i="13"/>
  <c r="AG45" i="13"/>
  <c r="U45" i="13"/>
  <c r="T45" i="13"/>
  <c r="AD45" i="13"/>
  <c r="R45" i="13"/>
  <c r="W45" i="13"/>
  <c r="F45" i="13"/>
  <c r="AF45" i="13"/>
  <c r="I45" i="13"/>
  <c r="BI41" i="13"/>
  <c r="E21" i="13"/>
  <c r="E20" i="13"/>
  <c r="E33" i="13"/>
  <c r="E22" i="13"/>
  <c r="AF32" i="13"/>
  <c r="N45" i="13"/>
  <c r="P41" i="13"/>
  <c r="E13" i="13"/>
  <c r="E26" i="13"/>
  <c r="E36" i="13"/>
  <c r="E35" i="13"/>
  <c r="V32" i="13"/>
  <c r="E17" i="13"/>
  <c r="E28" i="13"/>
  <c r="E16" i="13"/>
  <c r="M32" i="13"/>
  <c r="V41" i="13"/>
  <c r="AB45" i="13"/>
  <c r="E34" i="13"/>
  <c r="M41" i="13"/>
  <c r="W32" i="13"/>
  <c r="S29" i="13"/>
  <c r="AG29" i="13"/>
  <c r="F29" i="13"/>
  <c r="AD29" i="13"/>
  <c r="Y29" i="13"/>
  <c r="Z29" i="13"/>
  <c r="W29" i="13"/>
  <c r="I29" i="13"/>
  <c r="AB29" i="13"/>
  <c r="T29" i="13"/>
  <c r="O29" i="13"/>
  <c r="X29" i="13"/>
  <c r="N29" i="13"/>
  <c r="V29" i="13"/>
  <c r="Q29" i="13"/>
  <c r="AF29" i="13"/>
  <c r="M29" i="13"/>
  <c r="J29" i="13"/>
  <c r="K29" i="13"/>
  <c r="U29" i="13"/>
  <c r="P29" i="13"/>
  <c r="L29" i="13"/>
  <c r="H29" i="13"/>
  <c r="R29" i="13"/>
  <c r="P18" i="13"/>
  <c r="G29" i="13"/>
  <c r="AE32" i="13"/>
  <c r="AE29" i="13"/>
  <c r="AP11" i="35" l="1"/>
  <c r="AP44" i="35"/>
  <c r="AC46" i="13"/>
  <c r="BG46" i="13" s="1"/>
  <c r="AE46" i="13"/>
  <c r="AF46" i="13"/>
  <c r="V46" i="13"/>
  <c r="M46" i="13"/>
  <c r="AQ46" i="13" s="1"/>
  <c r="L46" i="13"/>
  <c r="AP46" i="13" s="1"/>
  <c r="S46" i="13"/>
  <c r="AW46" i="13" s="1"/>
  <c r="H46" i="13"/>
  <c r="AL46" i="13" s="1"/>
  <c r="G46" i="13"/>
  <c r="AK46" i="13" s="1"/>
  <c r="AG46" i="13"/>
  <c r="Q46" i="13"/>
  <c r="I46" i="13"/>
  <c r="U46" i="13"/>
  <c r="K46" i="13"/>
  <c r="AO46" i="13" s="1"/>
  <c r="O46" i="13"/>
  <c r="AS46" i="13" s="1"/>
  <c r="AD46" i="13"/>
  <c r="BH46" i="13" s="1"/>
  <c r="Y46" i="13"/>
  <c r="BC46" i="13" s="1"/>
  <c r="W46" i="13"/>
  <c r="AA46" i="13"/>
  <c r="P46" i="13"/>
  <c r="F46" i="13"/>
  <c r="N46" i="13"/>
  <c r="AR46" i="13" s="1"/>
  <c r="X46" i="13"/>
  <c r="J46" i="13"/>
  <c r="AN46" i="13" s="1"/>
  <c r="Z46" i="13"/>
  <c r="BD46" i="13" s="1"/>
  <c r="U44" i="13"/>
  <c r="W18" i="13"/>
  <c r="G18" i="13"/>
  <c r="I18" i="13"/>
  <c r="AP11" i="28"/>
  <c r="AP44" i="28"/>
  <c r="AB18" i="13"/>
  <c r="BF18" i="13" s="1"/>
  <c r="J44" i="13"/>
  <c r="AN44" i="13" s="1"/>
  <c r="R18" i="13"/>
  <c r="AG18" i="13"/>
  <c r="Q44" i="13"/>
  <c r="AP44" i="20"/>
  <c r="AP11" i="20"/>
  <c r="AP12" i="20" s="1"/>
  <c r="N25" i="13"/>
  <c r="AR25" i="13" s="1"/>
  <c r="AD25" i="13"/>
  <c r="BH25" i="13" s="1"/>
  <c r="F25" i="13"/>
  <c r="AJ25" i="13" s="1"/>
  <c r="AE25" i="13"/>
  <c r="AG25" i="13"/>
  <c r="W25" i="13"/>
  <c r="Z25" i="13"/>
  <c r="G25" i="13"/>
  <c r="AK25" i="13" s="1"/>
  <c r="V25" i="13"/>
  <c r="AZ25" i="13" s="1"/>
  <c r="AF25" i="13"/>
  <c r="BJ25" i="13" s="1"/>
  <c r="T25" i="13"/>
  <c r="AX25" i="13" s="1"/>
  <c r="X25" i="13"/>
  <c r="J25" i="13"/>
  <c r="AA25" i="13"/>
  <c r="P25" i="13"/>
  <c r="L25" i="13"/>
  <c r="AP25" i="13" s="1"/>
  <c r="R25" i="13"/>
  <c r="AV25" i="13" s="1"/>
  <c r="K25" i="13"/>
  <c r="AO25" i="13" s="1"/>
  <c r="S25" i="13"/>
  <c r="AW25" i="13" s="1"/>
  <c r="Q25" i="13"/>
  <c r="AC25" i="13"/>
  <c r="H25" i="13"/>
  <c r="M25" i="13"/>
  <c r="Y25" i="13"/>
  <c r="BC25" i="13" s="1"/>
  <c r="O25" i="13"/>
  <c r="AS25" i="13" s="1"/>
  <c r="I25" i="13"/>
  <c r="AM25" i="13" s="1"/>
  <c r="U25" i="13"/>
  <c r="AY25" i="13" s="1"/>
  <c r="AA44" i="13"/>
  <c r="W44" i="13"/>
  <c r="AG44" i="13"/>
  <c r="V18" i="13"/>
  <c r="AC18" i="13"/>
  <c r="BG18" i="13" s="1"/>
  <c r="AF18" i="13"/>
  <c r="BJ18" i="13" s="1"/>
  <c r="Z18" i="13"/>
  <c r="BD18" i="13" s="1"/>
  <c r="O18" i="13"/>
  <c r="AS18" i="13" s="1"/>
  <c r="N44" i="13"/>
  <c r="P44" i="13"/>
  <c r="V44" i="13"/>
  <c r="F18" i="13"/>
  <c r="H18" i="13"/>
  <c r="AL18" i="13" s="1"/>
  <c r="AA18" i="13"/>
  <c r="BE18" i="13" s="1"/>
  <c r="AE18" i="13"/>
  <c r="BI18" i="13" s="1"/>
  <c r="Y18" i="13"/>
  <c r="AC44" i="13"/>
  <c r="AF44" i="13"/>
  <c r="AD44" i="13"/>
  <c r="O45" i="13"/>
  <c r="AA45" i="13"/>
  <c r="Q45" i="13"/>
  <c r="L18" i="13"/>
  <c r="AP18" i="13" s="1"/>
  <c r="U18" i="13"/>
  <c r="AD18" i="13"/>
  <c r="BH18" i="13" s="1"/>
  <c r="X18" i="13"/>
  <c r="R44" i="13"/>
  <c r="F44" i="13"/>
  <c r="G44" i="13"/>
  <c r="AK44" i="13" s="1"/>
  <c r="K44" i="13"/>
  <c r="AO44" i="13" s="1"/>
  <c r="T46" i="13"/>
  <c r="AB46" i="13"/>
  <c r="M18" i="13"/>
  <c r="AQ18" i="13" s="1"/>
  <c r="N18" i="13"/>
  <c r="AR18" i="13" s="1"/>
  <c r="T44" i="13"/>
  <c r="M44" i="13"/>
  <c r="S44" i="13"/>
  <c r="AW44" i="13" s="1"/>
  <c r="I44" i="13"/>
  <c r="AM44" i="13" s="1"/>
  <c r="AE44" i="13"/>
  <c r="BI44" i="13" s="1"/>
  <c r="H44" i="13"/>
  <c r="AL44" i="13" s="1"/>
  <c r="X44" i="13"/>
  <c r="Z44" i="13"/>
  <c r="AW18" i="13"/>
  <c r="J18" i="13"/>
  <c r="K18" i="13"/>
  <c r="AO18" i="13" s="1"/>
  <c r="Q18" i="13"/>
  <c r="AU18" i="13" s="1"/>
  <c r="T18" i="13"/>
  <c r="AX18" i="13" s="1"/>
  <c r="Y44" i="13"/>
  <c r="BC44" i="13" s="1"/>
  <c r="O44" i="13"/>
  <c r="AB44" i="13"/>
  <c r="BA32" i="13"/>
  <c r="BE25" i="13"/>
  <c r="AZ45" i="13"/>
  <c r="BC41" i="13"/>
  <c r="AX15" i="13"/>
  <c r="AY44" i="13"/>
  <c r="BK31" i="13"/>
  <c r="AK29" i="13"/>
  <c r="AL29" i="13"/>
  <c r="AU29" i="13"/>
  <c r="BA29" i="13"/>
  <c r="AZ41" i="13"/>
  <c r="BI46" i="13"/>
  <c r="BJ46" i="13"/>
  <c r="BA18" i="13"/>
  <c r="T49" i="13"/>
  <c r="Y49" i="13"/>
  <c r="V49" i="13"/>
  <c r="AB49" i="13"/>
  <c r="M49" i="13"/>
  <c r="AD49" i="13"/>
  <c r="S49" i="13"/>
  <c r="F49" i="13"/>
  <c r="O49" i="13"/>
  <c r="J49" i="13"/>
  <c r="AF49" i="13"/>
  <c r="K49" i="13"/>
  <c r="X49" i="13"/>
  <c r="L49" i="13"/>
  <c r="G49" i="13"/>
  <c r="N49" i="13"/>
  <c r="H49" i="13"/>
  <c r="I49" i="13"/>
  <c r="P49" i="13"/>
  <c r="R49" i="13"/>
  <c r="AG49" i="13"/>
  <c r="Z49" i="13"/>
  <c r="AC49" i="13"/>
  <c r="W49" i="13"/>
  <c r="AE49" i="13"/>
  <c r="AA49" i="13"/>
  <c r="Q49" i="13"/>
  <c r="U49" i="13"/>
  <c r="AA33" i="13"/>
  <c r="I33" i="13"/>
  <c r="V33" i="13"/>
  <c r="J33" i="13"/>
  <c r="L33" i="13"/>
  <c r="U33" i="13"/>
  <c r="K33" i="13"/>
  <c r="S33" i="13"/>
  <c r="G33" i="13"/>
  <c r="Q33" i="13"/>
  <c r="H33" i="13"/>
  <c r="P33" i="13"/>
  <c r="R33" i="13"/>
  <c r="Y33" i="13"/>
  <c r="F33" i="13"/>
  <c r="AE33" i="13"/>
  <c r="O33" i="13"/>
  <c r="X33" i="13"/>
  <c r="AG33" i="13"/>
  <c r="AB33" i="13"/>
  <c r="M33" i="13"/>
  <c r="T33" i="13"/>
  <c r="N33" i="13"/>
  <c r="Z33" i="13"/>
  <c r="AF33" i="13"/>
  <c r="W33" i="13"/>
  <c r="AC33" i="13"/>
  <c r="AD33" i="13"/>
  <c r="BJ45" i="13"/>
  <c r="BD45" i="13"/>
  <c r="AL45" i="13"/>
  <c r="AY32" i="13"/>
  <c r="AV32" i="13"/>
  <c r="AU32" i="13"/>
  <c r="S37" i="13"/>
  <c r="O37" i="13"/>
  <c r="Z37" i="13"/>
  <c r="G37" i="13"/>
  <c r="AF37" i="13"/>
  <c r="AD37" i="13"/>
  <c r="I37" i="13"/>
  <c r="J37" i="13"/>
  <c r="U37" i="13"/>
  <c r="K37" i="13"/>
  <c r="V37" i="13"/>
  <c r="F37" i="13"/>
  <c r="AE37" i="13"/>
  <c r="M37" i="13"/>
  <c r="AG37" i="13"/>
  <c r="AC37" i="13"/>
  <c r="Q37" i="13"/>
  <c r="N37" i="13"/>
  <c r="L37" i="13"/>
  <c r="P37" i="13"/>
  <c r="W37" i="13"/>
  <c r="AB37" i="13"/>
  <c r="T37" i="13"/>
  <c r="X37" i="13"/>
  <c r="R37" i="13"/>
  <c r="AA37" i="13"/>
  <c r="Y37" i="13"/>
  <c r="H37" i="13"/>
  <c r="AJ41" i="13"/>
  <c r="AN41" i="13"/>
  <c r="BK41" i="13"/>
  <c r="BG23" i="13"/>
  <c r="AP23" i="13"/>
  <c r="BB23" i="13"/>
  <c r="AL23" i="13"/>
  <c r="AP15" i="13"/>
  <c r="BA15" i="13"/>
  <c r="AW15" i="13"/>
  <c r="AL19" i="13"/>
  <c r="BD19" i="13"/>
  <c r="BH19" i="13"/>
  <c r="AP19" i="13"/>
  <c r="BE44" i="13"/>
  <c r="BA44" i="13"/>
  <c r="BK44" i="13"/>
  <c r="AY27" i="13"/>
  <c r="BI27" i="13"/>
  <c r="AQ27" i="13"/>
  <c r="BH31" i="13"/>
  <c r="AO31" i="13"/>
  <c r="BE31" i="13"/>
  <c r="AM31" i="13"/>
  <c r="BB18" i="13"/>
  <c r="BB46" i="13"/>
  <c r="AA42" i="13"/>
  <c r="H42" i="13"/>
  <c r="I42" i="13"/>
  <c r="AD42" i="13"/>
  <c r="X42" i="13"/>
  <c r="G42" i="13"/>
  <c r="U42" i="13"/>
  <c r="W42" i="13"/>
  <c r="S42" i="13"/>
  <c r="AE42" i="13"/>
  <c r="L42" i="13"/>
  <c r="O42" i="13"/>
  <c r="F42" i="13"/>
  <c r="AG42" i="13"/>
  <c r="AC42" i="13"/>
  <c r="J42" i="13"/>
  <c r="Z42" i="13"/>
  <c r="AF42" i="13"/>
  <c r="Q42" i="13"/>
  <c r="R42" i="13"/>
  <c r="T42" i="13"/>
  <c r="M42" i="13"/>
  <c r="Y42" i="13"/>
  <c r="P42" i="13"/>
  <c r="N42" i="13"/>
  <c r="K42" i="13"/>
  <c r="V42" i="13"/>
  <c r="AB42" i="13"/>
  <c r="X52" i="13"/>
  <c r="M52" i="13"/>
  <c r="I52" i="13"/>
  <c r="AD52" i="13"/>
  <c r="AB52" i="13"/>
  <c r="AA52" i="13"/>
  <c r="P52" i="13"/>
  <c r="S52" i="13"/>
  <c r="V52" i="13"/>
  <c r="J52" i="13"/>
  <c r="AG52" i="13"/>
  <c r="K52" i="13"/>
  <c r="AF52" i="13"/>
  <c r="F52" i="13"/>
  <c r="W52" i="13"/>
  <c r="U52" i="13"/>
  <c r="Z52" i="13"/>
  <c r="R52" i="13"/>
  <c r="L52" i="13"/>
  <c r="N52" i="13"/>
  <c r="T52" i="13"/>
  <c r="Q52" i="13"/>
  <c r="H52" i="13"/>
  <c r="O52" i="13"/>
  <c r="AC52" i="13"/>
  <c r="AE52" i="13"/>
  <c r="Y52" i="13"/>
  <c r="G52" i="13"/>
  <c r="BA23" i="13"/>
  <c r="AT19" i="13"/>
  <c r="BB31" i="13"/>
  <c r="AT18" i="13"/>
  <c r="AM18" i="13"/>
  <c r="AV18" i="13"/>
  <c r="AP29" i="13"/>
  <c r="AZ29" i="13"/>
  <c r="BD29" i="13"/>
  <c r="AQ41" i="13"/>
  <c r="AQ32" i="13"/>
  <c r="AU25" i="13"/>
  <c r="BG25" i="13"/>
  <c r="AZ32" i="13"/>
  <c r="AR45" i="13"/>
  <c r="Q20" i="13"/>
  <c r="Z20" i="13"/>
  <c r="AG20" i="13"/>
  <c r="T20" i="13"/>
  <c r="H20" i="13"/>
  <c r="V20" i="13"/>
  <c r="AC20" i="13"/>
  <c r="G20" i="13"/>
  <c r="L20" i="13"/>
  <c r="AB20" i="13"/>
  <c r="J20" i="13"/>
  <c r="O20" i="13"/>
  <c r="R20" i="13"/>
  <c r="X20" i="13"/>
  <c r="AD20" i="13"/>
  <c r="P20" i="13"/>
  <c r="I20" i="13"/>
  <c r="AE20" i="13"/>
  <c r="F20" i="13"/>
  <c r="AA20" i="13"/>
  <c r="Y20" i="13"/>
  <c r="W20" i="13"/>
  <c r="N20" i="13"/>
  <c r="S20" i="13"/>
  <c r="AF20" i="13"/>
  <c r="K20" i="13"/>
  <c r="M20" i="13"/>
  <c r="U20" i="13"/>
  <c r="AJ45" i="13"/>
  <c r="AP45" i="13"/>
  <c r="BG45" i="13"/>
  <c r="BF32" i="13"/>
  <c r="AJ32" i="13"/>
  <c r="AX32" i="13"/>
  <c r="U48" i="13"/>
  <c r="J48" i="13"/>
  <c r="I48" i="13"/>
  <c r="V48" i="13"/>
  <c r="AC48" i="13"/>
  <c r="AD48" i="13"/>
  <c r="F48" i="13"/>
  <c r="O48" i="13"/>
  <c r="AE48" i="13"/>
  <c r="R48" i="13"/>
  <c r="W48" i="13"/>
  <c r="K48" i="13"/>
  <c r="AF48" i="13"/>
  <c r="M48" i="13"/>
  <c r="L48" i="13"/>
  <c r="AB48" i="13"/>
  <c r="AG48" i="13"/>
  <c r="AA48" i="13"/>
  <c r="Q48" i="13"/>
  <c r="G48" i="13"/>
  <c r="H48" i="13"/>
  <c r="S48" i="13"/>
  <c r="X48" i="13"/>
  <c r="N48" i="13"/>
  <c r="P48" i="13"/>
  <c r="Z48" i="13"/>
  <c r="Y48" i="13"/>
  <c r="T48" i="13"/>
  <c r="AY41" i="13"/>
  <c r="AP41" i="13"/>
  <c r="BH41" i="13"/>
  <c r="BF23" i="13"/>
  <c r="BJ23" i="13"/>
  <c r="AW23" i="13"/>
  <c r="BD23" i="13"/>
  <c r="AM15" i="13"/>
  <c r="BJ15" i="13"/>
  <c r="AN15" i="13"/>
  <c r="AV19" i="13"/>
  <c r="AN19" i="13"/>
  <c r="AX19" i="13"/>
  <c r="AM19" i="13"/>
  <c r="AR44" i="13"/>
  <c r="AT44" i="13"/>
  <c r="AZ44" i="13"/>
  <c r="AN27" i="13"/>
  <c r="AX27" i="13"/>
  <c r="AV27" i="13"/>
  <c r="AV31" i="13"/>
  <c r="AQ31" i="13"/>
  <c r="AJ31" i="13"/>
  <c r="BG31" i="13"/>
  <c r="BB25" i="13"/>
  <c r="AU41" i="13"/>
  <c r="BB15" i="13"/>
  <c r="AW27" i="13"/>
  <c r="BC29" i="13"/>
  <c r="AF16" i="13"/>
  <c r="S16" i="13"/>
  <c r="K16" i="13"/>
  <c r="F16" i="13"/>
  <c r="I16" i="13"/>
  <c r="L16" i="13"/>
  <c r="N16" i="13"/>
  <c r="H16" i="13"/>
  <c r="AG16" i="13"/>
  <c r="R16" i="13"/>
  <c r="Y16" i="13"/>
  <c r="P16" i="13"/>
  <c r="W16" i="13"/>
  <c r="AA16" i="13"/>
  <c r="Q16" i="13"/>
  <c r="AE16" i="13"/>
  <c r="G16" i="13"/>
  <c r="AB16" i="13"/>
  <c r="T16" i="13"/>
  <c r="U16" i="13"/>
  <c r="AD16" i="13"/>
  <c r="V16" i="13"/>
  <c r="J16" i="13"/>
  <c r="Z16" i="13"/>
  <c r="X16" i="13"/>
  <c r="O16" i="13"/>
  <c r="M16" i="13"/>
  <c r="AC16" i="13"/>
  <c r="BK46" i="13"/>
  <c r="AL25" i="13"/>
  <c r="AQ25" i="13"/>
  <c r="O35" i="13"/>
  <c r="I35" i="13"/>
  <c r="J35" i="13"/>
  <c r="Y35" i="13"/>
  <c r="F35" i="13"/>
  <c r="Z35" i="13"/>
  <c r="W35" i="13"/>
  <c r="R35" i="13"/>
  <c r="AE35" i="13"/>
  <c r="AD35" i="13"/>
  <c r="H35" i="13"/>
  <c r="P35" i="13"/>
  <c r="AG35" i="13"/>
  <c r="AF35" i="13"/>
  <c r="AB35" i="13"/>
  <c r="T35" i="13"/>
  <c r="AC35" i="13"/>
  <c r="Q35" i="13"/>
  <c r="G35" i="13"/>
  <c r="N35" i="13"/>
  <c r="V35" i="13"/>
  <c r="AA35" i="13"/>
  <c r="U35" i="13"/>
  <c r="L35" i="13"/>
  <c r="X35" i="13"/>
  <c r="M35" i="13"/>
  <c r="K35" i="13"/>
  <c r="S35" i="13"/>
  <c r="AT25" i="13"/>
  <c r="BA45" i="13"/>
  <c r="AN45" i="13"/>
  <c r="AO45" i="13"/>
  <c r="AT32" i="13"/>
  <c r="AL32" i="13"/>
  <c r="BC32" i="13"/>
  <c r="O24" i="13"/>
  <c r="L24" i="13"/>
  <c r="G24" i="13"/>
  <c r="H24" i="13"/>
  <c r="M24" i="13"/>
  <c r="AF24" i="13"/>
  <c r="W24" i="13"/>
  <c r="F24" i="13"/>
  <c r="AG24" i="13"/>
  <c r="AC24" i="13"/>
  <c r="T24" i="13"/>
  <c r="Q24" i="13"/>
  <c r="S24" i="13"/>
  <c r="AA24" i="13"/>
  <c r="Y24" i="13"/>
  <c r="R24" i="13"/>
  <c r="K24" i="13"/>
  <c r="V24" i="13"/>
  <c r="Z24" i="13"/>
  <c r="P24" i="13"/>
  <c r="I24" i="13"/>
  <c r="X24" i="13"/>
  <c r="U24" i="13"/>
  <c r="J24" i="13"/>
  <c r="AD24" i="13"/>
  <c r="AB24" i="13"/>
  <c r="N24" i="13"/>
  <c r="AE24" i="13"/>
  <c r="AV41" i="13"/>
  <c r="AX41" i="13"/>
  <c r="AW41" i="13"/>
  <c r="AU23" i="13"/>
  <c r="AY23" i="13"/>
  <c r="BE23" i="13"/>
  <c r="AM23" i="13"/>
  <c r="BG15" i="13"/>
  <c r="AU15" i="13"/>
  <c r="BE15" i="13"/>
  <c r="BK19" i="13"/>
  <c r="AY19" i="13"/>
  <c r="BJ19" i="13"/>
  <c r="AR19" i="13"/>
  <c r="BG44" i="13"/>
  <c r="BJ44" i="13"/>
  <c r="BH44" i="13"/>
  <c r="BE27" i="13"/>
  <c r="BK27" i="13"/>
  <c r="BB27" i="13"/>
  <c r="AN31" i="13"/>
  <c r="AU31" i="13"/>
  <c r="AS31" i="13"/>
  <c r="BD31" i="13"/>
  <c r="AM29" i="13"/>
  <c r="AN25" i="13"/>
  <c r="BK45" i="13"/>
  <c r="BE41" i="13"/>
  <c r="BK23" i="13"/>
  <c r="BI19" i="13"/>
  <c r="AY31" i="13"/>
  <c r="AT29" i="13"/>
  <c r="AZ46" i="13"/>
  <c r="AY29" i="13"/>
  <c r="BH29" i="13"/>
  <c r="BF45" i="13"/>
  <c r="T28" i="13"/>
  <c r="I28" i="13"/>
  <c r="J28" i="13"/>
  <c r="Z28" i="13"/>
  <c r="S28" i="13"/>
  <c r="M28" i="13"/>
  <c r="AD28" i="13"/>
  <c r="AA28" i="13"/>
  <c r="F28" i="13"/>
  <c r="N28" i="13"/>
  <c r="Q28" i="13"/>
  <c r="G28" i="13"/>
  <c r="V28" i="13"/>
  <c r="Y28" i="13"/>
  <c r="W28" i="13"/>
  <c r="R28" i="13"/>
  <c r="X28" i="13"/>
  <c r="AC28" i="13"/>
  <c r="U28" i="13"/>
  <c r="AB28" i="13"/>
  <c r="L28" i="13"/>
  <c r="AG28" i="13"/>
  <c r="O28" i="13"/>
  <c r="H28" i="13"/>
  <c r="AF28" i="13"/>
  <c r="K28" i="13"/>
  <c r="AE28" i="13"/>
  <c r="P28" i="13"/>
  <c r="AU46" i="13"/>
  <c r="AM46" i="13"/>
  <c r="AY46" i="13"/>
  <c r="U36" i="13"/>
  <c r="F36" i="13"/>
  <c r="AA36" i="13"/>
  <c r="J36" i="13"/>
  <c r="K36" i="13"/>
  <c r="AD36" i="13"/>
  <c r="H36" i="13"/>
  <c r="AE36" i="13"/>
  <c r="M36" i="13"/>
  <c r="I36" i="13"/>
  <c r="L36" i="13"/>
  <c r="R36" i="13"/>
  <c r="W36" i="13"/>
  <c r="G36" i="13"/>
  <c r="P36" i="13"/>
  <c r="S36" i="13"/>
  <c r="O36" i="13"/>
  <c r="Q36" i="13"/>
  <c r="N36" i="13"/>
  <c r="X36" i="13"/>
  <c r="Y36" i="13"/>
  <c r="AC36" i="13"/>
  <c r="V36" i="13"/>
  <c r="Z36" i="13"/>
  <c r="AG36" i="13"/>
  <c r="AB36" i="13"/>
  <c r="T36" i="13"/>
  <c r="AF36" i="13"/>
  <c r="BJ32" i="13"/>
  <c r="K21" i="13"/>
  <c r="I21" i="13"/>
  <c r="T21" i="13"/>
  <c r="O21" i="13"/>
  <c r="AA21" i="13"/>
  <c r="Y21" i="13"/>
  <c r="S21" i="13"/>
  <c r="M21" i="13"/>
  <c r="G21" i="13"/>
  <c r="AG21" i="13"/>
  <c r="W21" i="13"/>
  <c r="L21" i="13"/>
  <c r="U21" i="13"/>
  <c r="J21" i="13"/>
  <c r="X21" i="13"/>
  <c r="AD21" i="13"/>
  <c r="N21" i="13"/>
  <c r="H21" i="13"/>
  <c r="Z21" i="13"/>
  <c r="P21" i="13"/>
  <c r="AB21" i="13"/>
  <c r="F21" i="13"/>
  <c r="AF21" i="13"/>
  <c r="AE21" i="13"/>
  <c r="R21" i="13"/>
  <c r="AC21" i="13"/>
  <c r="Q21" i="13"/>
  <c r="V21" i="13"/>
  <c r="AV45" i="13"/>
  <c r="BB45" i="13"/>
  <c r="AW45" i="13"/>
  <c r="AM32" i="13"/>
  <c r="BK32" i="13"/>
  <c r="AR32" i="13"/>
  <c r="X14" i="13"/>
  <c r="W14" i="13"/>
  <c r="AD14" i="13"/>
  <c r="AG14" i="13"/>
  <c r="P14" i="13"/>
  <c r="AB14" i="13"/>
  <c r="R14" i="13"/>
  <c r="Z14" i="13"/>
  <c r="AE14" i="13"/>
  <c r="K14" i="13"/>
  <c r="AA14" i="13"/>
  <c r="V14" i="13"/>
  <c r="T14" i="13"/>
  <c r="I14" i="13"/>
  <c r="N14" i="13"/>
  <c r="G14" i="13"/>
  <c r="L14" i="13"/>
  <c r="F14" i="13"/>
  <c r="U14" i="13"/>
  <c r="Y14" i="13"/>
  <c r="AC14" i="13"/>
  <c r="H14" i="13"/>
  <c r="M14" i="13"/>
  <c r="J14" i="13"/>
  <c r="S14" i="13"/>
  <c r="O14" i="13"/>
  <c r="AF14" i="13"/>
  <c r="Q14" i="13"/>
  <c r="BD41" i="13"/>
  <c r="BB41" i="13"/>
  <c r="AM41" i="13"/>
  <c r="AQ23" i="13"/>
  <c r="AR23" i="13"/>
  <c r="BH23" i="13"/>
  <c r="BI15" i="13"/>
  <c r="AQ15" i="13"/>
  <c r="BF15" i="13"/>
  <c r="BC15" i="13"/>
  <c r="AU19" i="13"/>
  <c r="AW19" i="13"/>
  <c r="AZ19" i="13"/>
  <c r="AV44" i="13"/>
  <c r="AJ44" i="13"/>
  <c r="AM27" i="13"/>
  <c r="BD27" i="13"/>
  <c r="AP27" i="13"/>
  <c r="BA27" i="13"/>
  <c r="AP31" i="13"/>
  <c r="BI31" i="13"/>
  <c r="AX31" i="13"/>
  <c r="BJ29" i="13"/>
  <c r="AM45" i="13"/>
  <c r="BB32" i="13"/>
  <c r="AJ23" i="13"/>
  <c r="BG19" i="13"/>
  <c r="AK31" i="13"/>
  <c r="AR29" i="13"/>
  <c r="BB29" i="13"/>
  <c r="BI29" i="13"/>
  <c r="AZ18" i="13"/>
  <c r="AO29" i="13"/>
  <c r="AS29" i="13"/>
  <c r="AJ29" i="13"/>
  <c r="AG47" i="13"/>
  <c r="N47" i="13"/>
  <c r="U47" i="13"/>
  <c r="I47" i="13"/>
  <c r="F47" i="13"/>
  <c r="AC47" i="13"/>
  <c r="S47" i="13"/>
  <c r="J47" i="13"/>
  <c r="X47" i="13"/>
  <c r="T47" i="13"/>
  <c r="L47" i="13"/>
  <c r="Z47" i="13"/>
  <c r="R47" i="13"/>
  <c r="AF47" i="13"/>
  <c r="V47" i="13"/>
  <c r="G47" i="13"/>
  <c r="AB47" i="13"/>
  <c r="Q47" i="13"/>
  <c r="H47" i="13"/>
  <c r="M47" i="13"/>
  <c r="AD47" i="13"/>
  <c r="W47" i="13"/>
  <c r="AE47" i="13"/>
  <c r="AA47" i="13"/>
  <c r="P47" i="13"/>
  <c r="O47" i="13"/>
  <c r="K47" i="13"/>
  <c r="Y47" i="13"/>
  <c r="N26" i="13"/>
  <c r="AD26" i="13"/>
  <c r="J26" i="13"/>
  <c r="Z26" i="13"/>
  <c r="AE26" i="13"/>
  <c r="O26" i="13"/>
  <c r="W26" i="13"/>
  <c r="S26" i="13"/>
  <c r="X26" i="13"/>
  <c r="AA26" i="13"/>
  <c r="AC26" i="13"/>
  <c r="Q26" i="13"/>
  <c r="Y26" i="13"/>
  <c r="H26" i="13"/>
  <c r="I26" i="13"/>
  <c r="R26" i="13"/>
  <c r="M26" i="13"/>
  <c r="T26" i="13"/>
  <c r="K26" i="13"/>
  <c r="G26" i="13"/>
  <c r="P26" i="13"/>
  <c r="U26" i="13"/>
  <c r="AG26" i="13"/>
  <c r="F26" i="13"/>
  <c r="AB26" i="13"/>
  <c r="L26" i="13"/>
  <c r="V26" i="13"/>
  <c r="AF26" i="13"/>
  <c r="AV46" i="13"/>
  <c r="BH45" i="13"/>
  <c r="BC45" i="13"/>
  <c r="BI45" i="13"/>
  <c r="BG32" i="13"/>
  <c r="AW32" i="13"/>
  <c r="BE32" i="13"/>
  <c r="Z30" i="13"/>
  <c r="Y30" i="13"/>
  <c r="AB30" i="13"/>
  <c r="AF30" i="13"/>
  <c r="F30" i="13"/>
  <c r="L30" i="13"/>
  <c r="M30" i="13"/>
  <c r="U30" i="13"/>
  <c r="K30" i="13"/>
  <c r="X30" i="13"/>
  <c r="AG30" i="13"/>
  <c r="J30" i="13"/>
  <c r="I30" i="13"/>
  <c r="P30" i="13"/>
  <c r="W30" i="13"/>
  <c r="S30" i="13"/>
  <c r="AA30" i="13"/>
  <c r="G30" i="13"/>
  <c r="AE30" i="13"/>
  <c r="R30" i="13"/>
  <c r="T30" i="13"/>
  <c r="V30" i="13"/>
  <c r="N30" i="13"/>
  <c r="H30" i="13"/>
  <c r="Q30" i="13"/>
  <c r="AC30" i="13"/>
  <c r="AD30" i="13"/>
  <c r="O30" i="13"/>
  <c r="AR41" i="13"/>
  <c r="AO41" i="13"/>
  <c r="AL41" i="13"/>
  <c r="AV23" i="13"/>
  <c r="AX23" i="13"/>
  <c r="AZ23" i="13"/>
  <c r="BH15" i="13"/>
  <c r="AL15" i="13"/>
  <c r="AR15" i="13"/>
  <c r="AY15" i="13"/>
  <c r="AK19" i="13"/>
  <c r="BE19" i="13"/>
  <c r="BF19" i="13"/>
  <c r="AX44" i="13"/>
  <c r="AQ44" i="13"/>
  <c r="BJ27" i="13"/>
  <c r="AU27" i="13"/>
  <c r="AS27" i="13"/>
  <c r="BC27" i="13"/>
  <c r="BF31" i="13"/>
  <c r="BC31" i="13"/>
  <c r="AL31" i="13"/>
  <c r="AV29" i="13"/>
  <c r="O22" i="13"/>
  <c r="K22" i="13"/>
  <c r="N22" i="13"/>
  <c r="F22" i="13"/>
  <c r="Q22" i="13"/>
  <c r="G22" i="13"/>
  <c r="L22" i="13"/>
  <c r="H22" i="13"/>
  <c r="R22" i="13"/>
  <c r="Z22" i="13"/>
  <c r="AG22" i="13"/>
  <c r="J22" i="13"/>
  <c r="AC22" i="13"/>
  <c r="V22" i="13"/>
  <c r="U22" i="13"/>
  <c r="AA22" i="13"/>
  <c r="AE22" i="13"/>
  <c r="AB22" i="13"/>
  <c r="AD22" i="13"/>
  <c r="T22" i="13"/>
  <c r="P22" i="13"/>
  <c r="M22" i="13"/>
  <c r="S22" i="13"/>
  <c r="X22" i="13"/>
  <c r="W22" i="13"/>
  <c r="Y22" i="13"/>
  <c r="I22" i="13"/>
  <c r="AF22" i="13"/>
  <c r="AO32" i="13"/>
  <c r="AT23" i="13"/>
  <c r="AO19" i="13"/>
  <c r="AR27" i="13"/>
  <c r="AN18" i="13"/>
  <c r="J34" i="13"/>
  <c r="F34" i="13"/>
  <c r="L34" i="13"/>
  <c r="S34" i="13"/>
  <c r="AA34" i="13"/>
  <c r="M34" i="13"/>
  <c r="N34" i="13"/>
  <c r="Y34" i="13"/>
  <c r="K34" i="13"/>
  <c r="AE34" i="13"/>
  <c r="I34" i="13"/>
  <c r="V34" i="13"/>
  <c r="X34" i="13"/>
  <c r="P34" i="13"/>
  <c r="U34" i="13"/>
  <c r="O34" i="13"/>
  <c r="Q34" i="13"/>
  <c r="W34" i="13"/>
  <c r="AB34" i="13"/>
  <c r="AD34" i="13"/>
  <c r="T34" i="13"/>
  <c r="AG34" i="13"/>
  <c r="AC34" i="13"/>
  <c r="H34" i="13"/>
  <c r="R34" i="13"/>
  <c r="AF34" i="13"/>
  <c r="Z34" i="13"/>
  <c r="G34" i="13"/>
  <c r="AK18" i="13"/>
  <c r="BK18" i="13"/>
  <c r="AJ18" i="13"/>
  <c r="AN29" i="13"/>
  <c r="AX29" i="13"/>
  <c r="BK29" i="13"/>
  <c r="T38" i="13"/>
  <c r="Y38" i="13"/>
  <c r="AG38" i="13"/>
  <c r="H38" i="13"/>
  <c r="AB38" i="13"/>
  <c r="S38" i="13"/>
  <c r="R38" i="13"/>
  <c r="Q38" i="13"/>
  <c r="I38" i="13"/>
  <c r="AE38" i="13"/>
  <c r="AC38" i="13"/>
  <c r="W38" i="13"/>
  <c r="U38" i="13"/>
  <c r="O38" i="13"/>
  <c r="V38" i="13"/>
  <c r="M38" i="13"/>
  <c r="N38" i="13"/>
  <c r="J38" i="13"/>
  <c r="Z38" i="13"/>
  <c r="AD38" i="13"/>
  <c r="AA38" i="13"/>
  <c r="X38" i="13"/>
  <c r="L38" i="13"/>
  <c r="K38" i="13"/>
  <c r="AF38" i="13"/>
  <c r="P38" i="13"/>
  <c r="G38" i="13"/>
  <c r="F38" i="13"/>
  <c r="P17" i="13"/>
  <c r="R17" i="13"/>
  <c r="H17" i="13"/>
  <c r="AD17" i="13"/>
  <c r="AC17" i="13"/>
  <c r="O17" i="13"/>
  <c r="Q17" i="13"/>
  <c r="I17" i="13"/>
  <c r="T17" i="13"/>
  <c r="G17" i="13"/>
  <c r="AA17" i="13"/>
  <c r="U17" i="13"/>
  <c r="Z17" i="13"/>
  <c r="X17" i="13"/>
  <c r="L17" i="13"/>
  <c r="F17" i="13"/>
  <c r="S17" i="13"/>
  <c r="N17" i="13"/>
  <c r="W17" i="13"/>
  <c r="K17" i="13"/>
  <c r="AE17" i="13"/>
  <c r="AB17" i="13"/>
  <c r="V17" i="13"/>
  <c r="M17" i="13"/>
  <c r="AG17" i="13"/>
  <c r="AF17" i="13"/>
  <c r="J17" i="13"/>
  <c r="Y17" i="13"/>
  <c r="BA46" i="13"/>
  <c r="BE46" i="13"/>
  <c r="BK25" i="13"/>
  <c r="BA25" i="13"/>
  <c r="BD25" i="13"/>
  <c r="AE13" i="13"/>
  <c r="H13" i="13"/>
  <c r="F13" i="13"/>
  <c r="L13" i="13"/>
  <c r="W13" i="13"/>
  <c r="AC13" i="13"/>
  <c r="AB13" i="13"/>
  <c r="AF13" i="13"/>
  <c r="V13" i="13"/>
  <c r="P13" i="13"/>
  <c r="O13" i="13"/>
  <c r="T13" i="13"/>
  <c r="N13" i="13"/>
  <c r="S13" i="13"/>
  <c r="K13" i="13"/>
  <c r="AD13" i="13"/>
  <c r="U13" i="13"/>
  <c r="Q13" i="13"/>
  <c r="X13" i="13"/>
  <c r="Z13" i="13"/>
  <c r="M13" i="13"/>
  <c r="J13" i="13"/>
  <c r="R13" i="13"/>
  <c r="I13" i="13"/>
  <c r="Y13" i="13"/>
  <c r="G13" i="13"/>
  <c r="AG13" i="13"/>
  <c r="AA13" i="13"/>
  <c r="AX45" i="13"/>
  <c r="AT45" i="13"/>
  <c r="AK45" i="13"/>
  <c r="AS32" i="13"/>
  <c r="AK32" i="13"/>
  <c r="BG29" i="13"/>
  <c r="BG41" i="13"/>
  <c r="AK41" i="13"/>
  <c r="BA41" i="13"/>
  <c r="AS23" i="13"/>
  <c r="BI23" i="13"/>
  <c r="AK23" i="13"/>
  <c r="BK15" i="13"/>
  <c r="AO15" i="13"/>
  <c r="AV15" i="13"/>
  <c r="AT15" i="13"/>
  <c r="AS19" i="13"/>
  <c r="AJ19" i="13"/>
  <c r="AQ19" i="13"/>
  <c r="BB44" i="13"/>
  <c r="BD44" i="13"/>
  <c r="AJ27" i="13"/>
  <c r="BG27" i="13"/>
  <c r="BF27" i="13"/>
  <c r="AT27" i="13"/>
  <c r="BA31" i="13"/>
  <c r="AR31" i="13"/>
  <c r="AT31" i="13"/>
  <c r="BI25" i="13"/>
  <c r="M51" i="13"/>
  <c r="AF51" i="13"/>
  <c r="AG51" i="13"/>
  <c r="I51" i="13"/>
  <c r="U51" i="13"/>
  <c r="P51" i="13"/>
  <c r="K51" i="13"/>
  <c r="AA51" i="13"/>
  <c r="AE51" i="13"/>
  <c r="L51" i="13"/>
  <c r="Z51" i="13"/>
  <c r="Y51" i="13"/>
  <c r="AB51" i="13"/>
  <c r="F51" i="13"/>
  <c r="J51" i="13"/>
  <c r="Q51" i="13"/>
  <c r="AD51" i="13"/>
  <c r="W51" i="13"/>
  <c r="T51" i="13"/>
  <c r="V51" i="13"/>
  <c r="O51" i="13"/>
  <c r="G51" i="13"/>
  <c r="AC51" i="13"/>
  <c r="X51" i="13"/>
  <c r="H51" i="13"/>
  <c r="R51" i="13"/>
  <c r="S51" i="13"/>
  <c r="N51" i="13"/>
  <c r="AN32" i="13"/>
  <c r="BD15" i="13"/>
  <c r="AU44" i="13"/>
  <c r="AO27" i="13"/>
  <c r="BI32" i="13"/>
  <c r="AQ29" i="13"/>
  <c r="BF29" i="13"/>
  <c r="AW29" i="13"/>
  <c r="H50" i="13"/>
  <c r="G50" i="13"/>
  <c r="X50" i="13"/>
  <c r="P50" i="13"/>
  <c r="V50" i="13"/>
  <c r="F50" i="13"/>
  <c r="Z50" i="13"/>
  <c r="T50" i="13"/>
  <c r="AD50" i="13"/>
  <c r="J50" i="13"/>
  <c r="W50" i="13"/>
  <c r="Y50" i="13"/>
  <c r="U50" i="13"/>
  <c r="I50" i="13"/>
  <c r="AA50" i="13"/>
  <c r="AG50" i="13"/>
  <c r="O50" i="13"/>
  <c r="M50" i="13"/>
  <c r="AB50" i="13"/>
  <c r="K50" i="13"/>
  <c r="N50" i="13"/>
  <c r="AF50" i="13"/>
  <c r="AE50" i="13"/>
  <c r="Q50" i="13"/>
  <c r="AC50" i="13"/>
  <c r="L50" i="13"/>
  <c r="R50" i="13"/>
  <c r="S50" i="13"/>
  <c r="W40" i="13"/>
  <c r="AA40" i="13"/>
  <c r="T40" i="13"/>
  <c r="Y40" i="13"/>
  <c r="Q40" i="13"/>
  <c r="AB40" i="13"/>
  <c r="P40" i="13"/>
  <c r="K40" i="13"/>
  <c r="AG40" i="13"/>
  <c r="F40" i="13"/>
  <c r="V40" i="13"/>
  <c r="AC40" i="13"/>
  <c r="AE40" i="13"/>
  <c r="AD40" i="13"/>
  <c r="L40" i="13"/>
  <c r="S40" i="13"/>
  <c r="M40" i="13"/>
  <c r="X40" i="13"/>
  <c r="H40" i="13"/>
  <c r="AF40" i="13"/>
  <c r="N40" i="13"/>
  <c r="J40" i="13"/>
  <c r="Z40" i="13"/>
  <c r="G40" i="13"/>
  <c r="O40" i="13"/>
  <c r="U40" i="13"/>
  <c r="I40" i="13"/>
  <c r="R40" i="13"/>
  <c r="AT46" i="13"/>
  <c r="AJ46" i="13"/>
  <c r="AT41" i="13"/>
  <c r="H39" i="13"/>
  <c r="AB39" i="13"/>
  <c r="N39" i="13"/>
  <c r="L39" i="13"/>
  <c r="F39" i="13"/>
  <c r="R39" i="13"/>
  <c r="Q39" i="13"/>
  <c r="Y39" i="13"/>
  <c r="T39" i="13"/>
  <c r="M39" i="13"/>
  <c r="U39" i="13"/>
  <c r="AD39" i="13"/>
  <c r="AF39" i="13"/>
  <c r="K39" i="13"/>
  <c r="O39" i="13"/>
  <c r="Z39" i="13"/>
  <c r="V39" i="13"/>
  <c r="W39" i="13"/>
  <c r="I39" i="13"/>
  <c r="AA39" i="13"/>
  <c r="P39" i="13"/>
  <c r="G39" i="13"/>
  <c r="AG39" i="13"/>
  <c r="X39" i="13"/>
  <c r="S39" i="13"/>
  <c r="AC39" i="13"/>
  <c r="AE39" i="13"/>
  <c r="J39" i="13"/>
  <c r="AY45" i="13"/>
  <c r="AQ45" i="13"/>
  <c r="BD32" i="13"/>
  <c r="AP32" i="13"/>
  <c r="BH32" i="13"/>
  <c r="H43" i="13"/>
  <c r="O43" i="13"/>
  <c r="W43" i="13"/>
  <c r="AG43" i="13"/>
  <c r="X43" i="13"/>
  <c r="T43" i="13"/>
  <c r="R43" i="13"/>
  <c r="N43" i="13"/>
  <c r="F43" i="13"/>
  <c r="V43" i="13"/>
  <c r="P43" i="13"/>
  <c r="M43" i="13"/>
  <c r="AE43" i="13"/>
  <c r="S43" i="13"/>
  <c r="L43" i="13"/>
  <c r="AB43" i="13"/>
  <c r="I43" i="13"/>
  <c r="K43" i="13"/>
  <c r="Q43" i="13"/>
  <c r="J43" i="13"/>
  <c r="G43" i="13"/>
  <c r="U43" i="13"/>
  <c r="Z43" i="13"/>
  <c r="Y43" i="13"/>
  <c r="AF43" i="13"/>
  <c r="AC43" i="13"/>
  <c r="AD43" i="13"/>
  <c r="AA43" i="13"/>
  <c r="BF41" i="13"/>
  <c r="BJ41" i="13"/>
  <c r="AS41" i="13"/>
  <c r="BC23" i="13"/>
  <c r="AN23" i="13"/>
  <c r="AO23" i="13"/>
  <c r="AK15" i="13"/>
  <c r="AJ15" i="13"/>
  <c r="AZ15" i="13"/>
  <c r="AS15" i="13"/>
  <c r="BC19" i="13"/>
  <c r="BB19" i="13"/>
  <c r="BA19" i="13"/>
  <c r="AS44" i="13"/>
  <c r="BF44" i="13"/>
  <c r="AP44" i="13"/>
  <c r="AZ27" i="13"/>
  <c r="BH27" i="13"/>
  <c r="AL27" i="13"/>
  <c r="AK27" i="13"/>
  <c r="AW31" i="13"/>
  <c r="BJ31" i="13"/>
  <c r="AZ31" i="13"/>
  <c r="AP12" i="35" l="1"/>
  <c r="CN11" i="35"/>
  <c r="BP12" i="35"/>
  <c r="AZ12" i="35"/>
  <c r="BH12" i="35"/>
  <c r="BT12" i="35"/>
  <c r="BV12" i="35"/>
  <c r="BD12" i="35"/>
  <c r="BL12" i="35"/>
  <c r="CN11" i="28"/>
  <c r="AP13" i="20"/>
  <c r="CN12" i="20"/>
  <c r="AP12" i="28"/>
  <c r="CN11" i="20"/>
  <c r="AX46" i="13"/>
  <c r="AU45" i="13"/>
  <c r="BE45" i="13"/>
  <c r="AS45" i="13"/>
  <c r="BF46" i="13"/>
  <c r="BC18" i="13"/>
  <c r="AY18" i="13"/>
  <c r="BG43" i="13"/>
  <c r="BD39" i="13"/>
  <c r="BB40" i="13"/>
  <c r="AN13" i="13"/>
  <c r="BF17" i="13"/>
  <c r="BC38" i="13"/>
  <c r="AT30" i="13"/>
  <c r="BE47" i="13"/>
  <c r="AL21" i="13"/>
  <c r="AT24" i="13"/>
  <c r="BD35" i="13"/>
  <c r="AW20" i="13"/>
  <c r="AK42" i="13"/>
  <c r="BJ43" i="13"/>
  <c r="AM43" i="13"/>
  <c r="AJ43" i="13"/>
  <c r="AL43" i="13"/>
  <c r="BK39" i="13"/>
  <c r="AS39" i="13"/>
  <c r="AU39" i="13"/>
  <c r="AS40" i="13"/>
  <c r="AQ40" i="13"/>
  <c r="BK40" i="13"/>
  <c r="BA40" i="13"/>
  <c r="AR50" i="13"/>
  <c r="B83" i="35" s="1" a="1"/>
  <c r="B83" i="35" s="1"/>
  <c r="AY50" i="13"/>
  <c r="B88" i="35" s="1" a="1"/>
  <c r="B88" i="35" s="1"/>
  <c r="AZ50" i="13"/>
  <c r="C88" i="35" s="1" a="1"/>
  <c r="C88" i="35" s="1"/>
  <c r="AL51" i="13"/>
  <c r="BH51" i="13"/>
  <c r="BI51" i="13"/>
  <c r="AQ51" i="13"/>
  <c r="AQ13" i="13"/>
  <c r="AR13" i="13"/>
  <c r="BA13" i="13"/>
  <c r="BI17" i="13"/>
  <c r="BD17" i="13"/>
  <c r="BG17" i="13"/>
  <c r="BJ38" i="13"/>
  <c r="AR38" i="13"/>
  <c r="AM38" i="13"/>
  <c r="AX38" i="13"/>
  <c r="BG34" i="13"/>
  <c r="AY34" i="13"/>
  <c r="AR34" i="13"/>
  <c r="AT22" i="13"/>
  <c r="BG22" i="13"/>
  <c r="AU22" i="13"/>
  <c r="AX30" i="13"/>
  <c r="AM30" i="13"/>
  <c r="AJ30" i="13"/>
  <c r="BK26" i="13"/>
  <c r="AM26" i="13"/>
  <c r="BA26" i="13"/>
  <c r="BI47" i="13"/>
  <c r="AZ47" i="13"/>
  <c r="AW47" i="13"/>
  <c r="AW14" i="13"/>
  <c r="AP14" i="13"/>
  <c r="BI14" i="13"/>
  <c r="BB14" i="13"/>
  <c r="AV21" i="13"/>
  <c r="AR21" i="13"/>
  <c r="AK21" i="13"/>
  <c r="AO21" i="13"/>
  <c r="AZ36" i="13"/>
  <c r="AT36" i="13"/>
  <c r="AL36" i="13"/>
  <c r="AS28" i="13"/>
  <c r="BA28" i="13"/>
  <c r="BH28" i="13"/>
  <c r="AR24" i="13"/>
  <c r="BD24" i="13"/>
  <c r="AX24" i="13"/>
  <c r="AK24" i="13"/>
  <c r="AZ35" i="13"/>
  <c r="BK35" i="13"/>
  <c r="AJ35" i="13"/>
  <c r="BH16" i="13"/>
  <c r="BA16" i="13"/>
  <c r="AM16" i="13"/>
  <c r="BB48" i="13"/>
  <c r="AP48" i="13"/>
  <c r="AJ48" i="13"/>
  <c r="AR20" i="13"/>
  <c r="BH20" i="13"/>
  <c r="BG20" i="13"/>
  <c r="BG52" i="13"/>
  <c r="BD52" i="13"/>
  <c r="AZ52" i="13"/>
  <c r="BB52" i="13"/>
  <c r="AX42" i="13"/>
  <c r="AJ42" i="13"/>
  <c r="BB42" i="13"/>
  <c r="BA37" i="13"/>
  <c r="BI37" i="13"/>
  <c r="BJ37" i="13"/>
  <c r="AQ33" i="13"/>
  <c r="AV33" i="13"/>
  <c r="AP33" i="13"/>
  <c r="BI49" i="13"/>
  <c r="AL49" i="13"/>
  <c r="AS49" i="13"/>
  <c r="AX49" i="13"/>
  <c r="AO43" i="13"/>
  <c r="BC39" i="13"/>
  <c r="BE40" i="13"/>
  <c r="AV51" i="13"/>
  <c r="AW13" i="13"/>
  <c r="AS17" i="13"/>
  <c r="AP30" i="13"/>
  <c r="BI36" i="13"/>
  <c r="BI24" i="13"/>
  <c r="BJ35" i="13"/>
  <c r="AT20" i="13"/>
  <c r="BK42" i="13"/>
  <c r="AX33" i="13"/>
  <c r="BC43" i="13"/>
  <c r="BF43" i="13"/>
  <c r="AR43" i="13"/>
  <c r="AK39" i="13"/>
  <c r="AO39" i="13"/>
  <c r="AV39" i="13"/>
  <c r="AK40" i="13"/>
  <c r="AW40" i="13"/>
  <c r="AO40" i="13"/>
  <c r="AW50" i="13"/>
  <c r="G83" i="35" s="1" a="1"/>
  <c r="G83" i="35" s="1"/>
  <c r="AO50" i="13"/>
  <c r="F78" i="35" s="1" a="1"/>
  <c r="F78" i="35" s="1"/>
  <c r="BC50" i="13"/>
  <c r="F88" i="35" s="1" a="1"/>
  <c r="F88" i="35" s="1"/>
  <c r="AT50" i="13"/>
  <c r="D83" i="35" s="1" a="1"/>
  <c r="D83" i="35" s="1"/>
  <c r="BB51" i="13"/>
  <c r="AU51" i="13"/>
  <c r="BE51" i="13"/>
  <c r="BE13" i="13"/>
  <c r="BD13" i="13"/>
  <c r="AX13" i="13"/>
  <c r="AP13" i="13"/>
  <c r="BC17" i="13"/>
  <c r="AO17" i="13"/>
  <c r="AY17" i="13"/>
  <c r="BH17" i="13"/>
  <c r="AO38" i="13"/>
  <c r="AQ38" i="13"/>
  <c r="AU38" i="13"/>
  <c r="BK34" i="13"/>
  <c r="AT34" i="13"/>
  <c r="AQ34" i="13"/>
  <c r="BJ22" i="13"/>
  <c r="AX22" i="13"/>
  <c r="AN22" i="13"/>
  <c r="AJ22" i="13"/>
  <c r="AS30" i="13"/>
  <c r="AV30" i="13"/>
  <c r="AN30" i="13"/>
  <c r="BJ30" i="13"/>
  <c r="AY26" i="13"/>
  <c r="AL26" i="13"/>
  <c r="AS26" i="13"/>
  <c r="BA47" i="13"/>
  <c r="BJ47" i="13"/>
  <c r="BG47" i="13"/>
  <c r="AN14" i="13"/>
  <c r="E101" i="35" s="1" a="1"/>
  <c r="E101" i="35" s="1"/>
  <c r="AK14" i="13"/>
  <c r="BD14" i="13"/>
  <c r="BI21" i="13"/>
  <c r="BH21" i="13"/>
  <c r="AQ21" i="13"/>
  <c r="BG36" i="13"/>
  <c r="AK36" i="13"/>
  <c r="BH36" i="13"/>
  <c r="BK28" i="13"/>
  <c r="BC28" i="13"/>
  <c r="AQ28" i="13"/>
  <c r="BF24" i="13"/>
  <c r="AZ24" i="13"/>
  <c r="BG24" i="13"/>
  <c r="AP24" i="13"/>
  <c r="AW35" i="13"/>
  <c r="AR35" i="13"/>
  <c r="AT35" i="13"/>
  <c r="BC35" i="13"/>
  <c r="BG16" i="13"/>
  <c r="AY16" i="13"/>
  <c r="AT16" i="13"/>
  <c r="AJ16" i="13"/>
  <c r="AW48" i="13"/>
  <c r="AQ48" i="13"/>
  <c r="BH48" i="13"/>
  <c r="BA20" i="13"/>
  <c r="BB20" i="13"/>
  <c r="AZ20" i="13"/>
  <c r="AS52" i="13"/>
  <c r="AY52" i="13"/>
  <c r="AW52" i="13"/>
  <c r="BF42" i="13"/>
  <c r="AV42" i="13"/>
  <c r="AS42" i="13"/>
  <c r="BH42" i="13"/>
  <c r="AL37" i="13"/>
  <c r="AT37" i="13"/>
  <c r="AJ37" i="13"/>
  <c r="AK37" i="13"/>
  <c r="BH33" i="13"/>
  <c r="BF33" i="13"/>
  <c r="AT33" i="13"/>
  <c r="AN33" i="13"/>
  <c r="BA49" i="13"/>
  <c r="AR49" i="13"/>
  <c r="AJ49" i="13"/>
  <c r="AY40" i="13"/>
  <c r="BA51" i="13"/>
  <c r="BI38" i="13"/>
  <c r="AO14" i="13"/>
  <c r="AL28" i="13"/>
  <c r="BE16" i="13"/>
  <c r="AQ42" i="13"/>
  <c r="AN49" i="13"/>
  <c r="BJ39" i="13"/>
  <c r="BD40" i="13"/>
  <c r="AP40" i="13"/>
  <c r="AT40" i="13"/>
  <c r="AV50" i="13"/>
  <c r="F83" i="35" s="1" a="1"/>
  <c r="F83" i="35" s="1"/>
  <c r="BF50" i="13"/>
  <c r="B93" i="35" s="1" a="1"/>
  <c r="B93" i="35" s="1"/>
  <c r="BA50" i="13"/>
  <c r="D88" i="35" s="1" a="1"/>
  <c r="D88" i="35" s="1"/>
  <c r="BB50" i="13"/>
  <c r="E88" i="35" s="1" a="1"/>
  <c r="E88" i="35" s="1"/>
  <c r="BG51" i="13"/>
  <c r="AN51" i="13"/>
  <c r="AO51" i="13"/>
  <c r="BK13" i="13"/>
  <c r="BB13" i="13"/>
  <c r="AS13" i="13"/>
  <c r="AJ13" i="13"/>
  <c r="AN17" i="13"/>
  <c r="BA17" i="13"/>
  <c r="BE17" i="13"/>
  <c r="AL17" i="13"/>
  <c r="AP38" i="13"/>
  <c r="AZ38" i="13"/>
  <c r="AV38" i="13"/>
  <c r="AX34" i="13"/>
  <c r="BB34" i="13"/>
  <c r="BE34" i="13"/>
  <c r="AM22" i="13"/>
  <c r="BH22" i="13"/>
  <c r="BK22" i="13"/>
  <c r="AR22" i="13"/>
  <c r="BH30" i="13"/>
  <c r="BI30" i="13"/>
  <c r="BK30" i="13"/>
  <c r="BF30" i="13"/>
  <c r="AT26" i="13"/>
  <c r="BC26" i="13"/>
  <c r="BI26" i="13"/>
  <c r="BH47" i="13"/>
  <c r="AV47" i="13"/>
  <c r="AJ47" i="13"/>
  <c r="AQ14" i="13"/>
  <c r="AR14" i="13"/>
  <c r="B106" i="35" s="1" a="1"/>
  <c r="B106" i="35" s="1"/>
  <c r="AV14" i="13"/>
  <c r="BJ21" i="13"/>
  <c r="BB21" i="13"/>
  <c r="AW21" i="13"/>
  <c r="BC36" i="13"/>
  <c r="BA36" i="13"/>
  <c r="AO36" i="13"/>
  <c r="AP28" i="13"/>
  <c r="AZ28" i="13"/>
  <c r="AW28" i="13"/>
  <c r="BH24" i="13"/>
  <c r="AO24" i="13"/>
  <c r="BK24" i="13"/>
  <c r="AS24" i="13"/>
  <c r="AO35" i="13"/>
  <c r="AK35" i="13"/>
  <c r="AL35" i="13"/>
  <c r="AN35" i="13"/>
  <c r="AQ16" i="13"/>
  <c r="AX16" i="13"/>
  <c r="BC16" i="13"/>
  <c r="AO16" i="13"/>
  <c r="AL48" i="13"/>
  <c r="BJ48" i="13"/>
  <c r="BG48" i="13"/>
  <c r="BC20" i="13"/>
  <c r="AV20" i="13"/>
  <c r="AL20" i="13"/>
  <c r="AL52" i="13"/>
  <c r="BA52" i="13"/>
  <c r="AT52" i="13"/>
  <c r="AZ42" i="13"/>
  <c r="AU42" i="13"/>
  <c r="AP42" i="13"/>
  <c r="AM42" i="13"/>
  <c r="BC37" i="13"/>
  <c r="AP37" i="13"/>
  <c r="AZ37" i="13"/>
  <c r="BD37" i="13"/>
  <c r="BG33" i="13"/>
  <c r="BK33" i="13"/>
  <c r="AL33" i="13"/>
  <c r="AZ33" i="13"/>
  <c r="BG49" i="13"/>
  <c r="AK49" i="13"/>
  <c r="AW49" i="13"/>
  <c r="BJ50" i="13"/>
  <c r="F93" i="35" s="1" a="1"/>
  <c r="F93" i="35" s="1"/>
  <c r="AP51" i="13"/>
  <c r="AN38" i="13"/>
  <c r="BC34" i="13"/>
  <c r="BG21" i="13"/>
  <c r="AW36" i="13"/>
  <c r="BE35" i="13"/>
  <c r="AP16" i="13"/>
  <c r="AQ52" i="13"/>
  <c r="BH37" i="13"/>
  <c r="AY33" i="13"/>
  <c r="AP43" i="13"/>
  <c r="AW43" i="13"/>
  <c r="BE39" i="13"/>
  <c r="BH39" i="13"/>
  <c r="AP39" i="13"/>
  <c r="AN40" i="13"/>
  <c r="BH40" i="13"/>
  <c r="BF40" i="13"/>
  <c r="AP50" i="13"/>
  <c r="G78" i="35" s="1" a="1"/>
  <c r="G78" i="35" s="1"/>
  <c r="AQ50" i="13"/>
  <c r="A83" i="35" s="1" a="1"/>
  <c r="A83" i="35" s="1"/>
  <c r="AN50" i="13"/>
  <c r="E78" i="35" s="1" a="1"/>
  <c r="E78" i="35" s="1"/>
  <c r="AK50" i="13"/>
  <c r="B78" i="35" s="1" a="1"/>
  <c r="B78" i="35" s="1"/>
  <c r="AK51" i="13"/>
  <c r="AJ51" i="13"/>
  <c r="AT51" i="13"/>
  <c r="AK13" i="13"/>
  <c r="AU13" i="13"/>
  <c r="AT13" i="13"/>
  <c r="AL13" i="13"/>
  <c r="BJ17" i="13"/>
  <c r="AR17" i="13"/>
  <c r="AK17" i="13"/>
  <c r="AV17" i="13"/>
  <c r="BB38" i="13"/>
  <c r="AS38" i="13"/>
  <c r="AW38" i="13"/>
  <c r="AK34" i="13"/>
  <c r="BH34" i="13"/>
  <c r="AZ34" i="13"/>
  <c r="AW34" i="13"/>
  <c r="BC22" i="13"/>
  <c r="BF22" i="13"/>
  <c r="BD22" i="13"/>
  <c r="G111" i="28" s="1" a="1"/>
  <c r="G111" i="28" s="1"/>
  <c r="AO22" i="13"/>
  <c r="F101" i="20" s="1" a="1"/>
  <c r="F101" i="20" s="1"/>
  <c r="BG30" i="13"/>
  <c r="AK30" i="13"/>
  <c r="BB30" i="13"/>
  <c r="BC30" i="13"/>
  <c r="BJ26" i="13"/>
  <c r="AK26" i="13"/>
  <c r="AU26" i="13"/>
  <c r="BD26" i="13"/>
  <c r="BC47" i="13"/>
  <c r="AQ47" i="13"/>
  <c r="BD47" i="13"/>
  <c r="AM47" i="13"/>
  <c r="AL14" i="13"/>
  <c r="AM14" i="13"/>
  <c r="D101" i="35" s="1" a="1"/>
  <c r="D101" i="35" s="1"/>
  <c r="BF14" i="13"/>
  <c r="B116" i="35" s="1" a="1"/>
  <c r="B116" i="35" s="1"/>
  <c r="AJ21" i="13"/>
  <c r="AN21" i="13"/>
  <c r="BC21" i="13"/>
  <c r="BJ36" i="13"/>
  <c r="BB36" i="13"/>
  <c r="AV36" i="13"/>
  <c r="AN36" i="13"/>
  <c r="AT28" i="13"/>
  <c r="BF28" i="13"/>
  <c r="AK28" i="13"/>
  <c r="BD28" i="13"/>
  <c r="AN24" i="13"/>
  <c r="AV24" i="13"/>
  <c r="AJ24" i="13"/>
  <c r="AQ35" i="13"/>
  <c r="AU35" i="13"/>
  <c r="BH35" i="13"/>
  <c r="AM35" i="13"/>
  <c r="AS16" i="13"/>
  <c r="BF16" i="13"/>
  <c r="AV16" i="13"/>
  <c r="AW16" i="13"/>
  <c r="AX48" i="13"/>
  <c r="AK48" i="13"/>
  <c r="AO48" i="13"/>
  <c r="AZ48" i="13"/>
  <c r="AY20" i="13"/>
  <c r="BE20" i="13"/>
  <c r="AS20" i="13"/>
  <c r="AX20" i="13"/>
  <c r="AU52" i="13"/>
  <c r="AJ52" i="13"/>
  <c r="BE52" i="13"/>
  <c r="AO42" i="13"/>
  <c r="BJ42" i="13"/>
  <c r="BI42" i="13"/>
  <c r="AL42" i="13"/>
  <c r="BE37" i="13"/>
  <c r="AR37" i="13"/>
  <c r="AO37" i="13"/>
  <c r="AS37" i="13"/>
  <c r="BA33" i="13"/>
  <c r="BB33" i="13"/>
  <c r="AU33" i="13"/>
  <c r="AM33" i="13"/>
  <c r="BD49" i="13"/>
  <c r="AP49" i="13"/>
  <c r="BH49" i="13"/>
  <c r="AS43" i="13"/>
  <c r="AM50" i="13"/>
  <c r="D78" i="35" s="1" a="1"/>
  <c r="D78" i="35" s="1"/>
  <c r="BB17" i="13"/>
  <c r="AL34" i="13"/>
  <c r="AK22" i="13"/>
  <c r="B101" i="28" s="1" a="1"/>
  <c r="B101" i="28" s="1"/>
  <c r="AZ30" i="13"/>
  <c r="AW26" i="13"/>
  <c r="AS14" i="13"/>
  <c r="BK21" i="13"/>
  <c r="AZ16" i="13"/>
  <c r="BF48" i="13"/>
  <c r="AV52" i="13"/>
  <c r="AM49" i="13"/>
  <c r="BC49" i="13"/>
  <c r="BD43" i="13"/>
  <c r="AY43" i="13"/>
  <c r="AX43" i="13"/>
  <c r="AN39" i="13"/>
  <c r="AK43" i="13"/>
  <c r="BI43" i="13"/>
  <c r="BB43" i="13"/>
  <c r="BI39" i="13"/>
  <c r="AM39" i="13"/>
  <c r="AY39" i="13"/>
  <c r="AR39" i="13"/>
  <c r="AR40" i="13"/>
  <c r="BI40" i="13"/>
  <c r="AU40" i="13"/>
  <c r="BG50" i="13"/>
  <c r="C93" i="35" s="1" a="1"/>
  <c r="C93" i="35" s="1"/>
  <c r="AS50" i="13"/>
  <c r="C83" i="35" s="1" a="1"/>
  <c r="C83" i="35" s="1"/>
  <c r="BH50" i="13"/>
  <c r="D93" i="35" s="1" a="1"/>
  <c r="D93" i="35" s="1"/>
  <c r="AL50" i="13"/>
  <c r="C78" i="35" s="1" a="1"/>
  <c r="C78" i="35" s="1"/>
  <c r="AS51" i="13"/>
  <c r="BF51" i="13"/>
  <c r="AY51" i="13"/>
  <c r="BC13" i="13"/>
  <c r="AY13" i="13"/>
  <c r="AZ13" i="13"/>
  <c r="BI13" i="13"/>
  <c r="BK17" i="13"/>
  <c r="AW17" i="13"/>
  <c r="AX17" i="13"/>
  <c r="AT17" i="13"/>
  <c r="BE38" i="13"/>
  <c r="AY38" i="13"/>
  <c r="BF38" i="13"/>
  <c r="BD34" i="13"/>
  <c r="BF34" i="13"/>
  <c r="AM34" i="13"/>
  <c r="AP34" i="13"/>
  <c r="BA22" i="13"/>
  <c r="BI22" i="13"/>
  <c r="AV22" i="13"/>
  <c r="F106" i="28" s="1" a="1"/>
  <c r="F106" i="28" s="1"/>
  <c r="AS22" i="13"/>
  <c r="AU30" i="13"/>
  <c r="BE30" i="13"/>
  <c r="AO30" i="13"/>
  <c r="BD30" i="13"/>
  <c r="AZ26" i="13"/>
  <c r="AO26" i="13"/>
  <c r="BG26" i="13"/>
  <c r="AN26" i="13"/>
  <c r="AO47" i="13"/>
  <c r="AL47" i="13"/>
  <c r="AP47" i="13"/>
  <c r="AY47" i="13"/>
  <c r="BG14" i="13"/>
  <c r="C116" i="35" s="1" a="1"/>
  <c r="C116" i="35" s="1"/>
  <c r="AX14" i="13"/>
  <c r="A111" i="35" s="1" a="1"/>
  <c r="A111" i="35" s="1"/>
  <c r="AT14" i="13"/>
  <c r="D106" i="35" s="1" a="1"/>
  <c r="D106" i="35" s="1"/>
  <c r="BF21" i="13"/>
  <c r="AY21" i="13"/>
  <c r="BE21" i="13"/>
  <c r="AX36" i="13"/>
  <c r="AR36" i="13"/>
  <c r="AP36" i="13"/>
  <c r="BE36" i="13"/>
  <c r="BI28" i="13"/>
  <c r="AY28" i="13"/>
  <c r="AU28" i="13"/>
  <c r="AN28" i="13"/>
  <c r="AY24" i="13"/>
  <c r="BC24" i="13"/>
  <c r="BA24" i="13"/>
  <c r="BB35" i="13"/>
  <c r="BG35" i="13"/>
  <c r="BI35" i="13"/>
  <c r="AS35" i="13"/>
  <c r="BB16" i="13"/>
  <c r="AK16" i="13"/>
  <c r="BK16" i="13"/>
  <c r="BJ16" i="13"/>
  <c r="BC48" i="13"/>
  <c r="AU48" i="13"/>
  <c r="BA48" i="13"/>
  <c r="AM48" i="13"/>
  <c r="AQ20" i="13"/>
  <c r="AJ20" i="13"/>
  <c r="AN20" i="13"/>
  <c r="BK20" i="13"/>
  <c r="AX52" i="13"/>
  <c r="BJ52" i="13"/>
  <c r="BF52" i="13"/>
  <c r="AR42" i="13"/>
  <c r="BD42" i="13"/>
  <c r="AW42" i="13"/>
  <c r="BE42" i="13"/>
  <c r="AV37" i="13"/>
  <c r="AU37" i="13"/>
  <c r="AY37" i="13"/>
  <c r="AW37" i="13"/>
  <c r="BJ33" i="13"/>
  <c r="AS33" i="13"/>
  <c r="AK33" i="13"/>
  <c r="BE33" i="13"/>
  <c r="BK49" i="13"/>
  <c r="BB49" i="13"/>
  <c r="AQ49" i="13"/>
  <c r="BB39" i="13"/>
  <c r="AJ40" i="13"/>
  <c r="BG13" i="13"/>
  <c r="AT38" i="13"/>
  <c r="AS34" i="13"/>
  <c r="AQ22" i="13"/>
  <c r="A106" i="20" s="1" a="1"/>
  <c r="A106" i="20" s="1"/>
  <c r="AV26" i="13"/>
  <c r="AN47" i="13"/>
  <c r="BA14" i="13"/>
  <c r="D111" i="35" s="1" a="1"/>
  <c r="D111" i="35" s="1"/>
  <c r="BD36" i="13"/>
  <c r="AV28" i="13"/>
  <c r="AU24" i="13"/>
  <c r="AS48" i="13"/>
  <c r="AN52" i="13"/>
  <c r="AQ37" i="13"/>
  <c r="BE49" i="13"/>
  <c r="AT39" i="13"/>
  <c r="AN43" i="13"/>
  <c r="BK43" i="13"/>
  <c r="BG39" i="13"/>
  <c r="BA39" i="13"/>
  <c r="AQ39" i="13"/>
  <c r="BF39" i="13"/>
  <c r="AV40" i="13"/>
  <c r="BJ40" i="13"/>
  <c r="BG40" i="13"/>
  <c r="BC40" i="13"/>
  <c r="AU50" i="13"/>
  <c r="E83" i="35" s="1" a="1"/>
  <c r="E83" i="35" s="1"/>
  <c r="BK50" i="13"/>
  <c r="G93" i="35" s="1" a="1"/>
  <c r="G93" i="35" s="1"/>
  <c r="AX50" i="13"/>
  <c r="A88" i="35" s="1" a="1"/>
  <c r="A88" i="35" s="1"/>
  <c r="AR51" i="13"/>
  <c r="AZ51" i="13"/>
  <c r="BC51" i="13"/>
  <c r="AM51" i="13"/>
  <c r="AM13" i="13"/>
  <c r="BH13" i="13"/>
  <c r="BJ13" i="13"/>
  <c r="AQ17" i="13"/>
  <c r="AJ17" i="13"/>
  <c r="AM17" i="13"/>
  <c r="AJ38" i="13"/>
  <c r="BH38" i="13"/>
  <c r="BA38" i="13"/>
  <c r="AL38" i="13"/>
  <c r="BJ34" i="13"/>
  <c r="BA34" i="13"/>
  <c r="BI34" i="13"/>
  <c r="AJ34" i="13"/>
  <c r="BB22" i="13"/>
  <c r="E111" i="28" s="1" a="1"/>
  <c r="E111" i="28" s="1"/>
  <c r="BE22" i="13"/>
  <c r="A116" i="28" s="1" a="1"/>
  <c r="A116" i="28" s="1"/>
  <c r="AL22" i="13"/>
  <c r="C101" i="20" s="1" a="1"/>
  <c r="C101" i="20" s="1"/>
  <c r="AL30" i="13"/>
  <c r="AW30" i="13"/>
  <c r="AY30" i="13"/>
  <c r="AP26" i="13"/>
  <c r="AX26" i="13"/>
  <c r="BE26" i="13"/>
  <c r="BH26" i="13"/>
  <c r="AS47" i="13"/>
  <c r="AU47" i="13"/>
  <c r="AX47" i="13"/>
  <c r="AR47" i="13"/>
  <c r="AU14" i="13"/>
  <c r="E106" i="35" s="1" a="1"/>
  <c r="E106" i="35" s="1"/>
  <c r="BC14" i="13"/>
  <c r="F111" i="35" s="1" a="1"/>
  <c r="F111" i="35" s="1"/>
  <c r="AZ14" i="13"/>
  <c r="C111" i="35" s="1" a="1"/>
  <c r="C111" i="35" s="1"/>
  <c r="BK14" i="13"/>
  <c r="G116" i="35" s="1" a="1"/>
  <c r="G116" i="35" s="1"/>
  <c r="AZ21" i="13"/>
  <c r="AT21" i="13"/>
  <c r="AP21" i="13"/>
  <c r="AS21" i="13"/>
  <c r="BF36" i="13"/>
  <c r="AU36" i="13"/>
  <c r="AM36" i="13"/>
  <c r="AJ36" i="13"/>
  <c r="AO28" i="13"/>
  <c r="BG28" i="13"/>
  <c r="AR28" i="13"/>
  <c r="AM28" i="13"/>
  <c r="BB24" i="13"/>
  <c r="BE24" i="13"/>
  <c r="BJ24" i="13"/>
  <c r="AP35" i="13"/>
  <c r="AX35" i="13"/>
  <c r="AV35" i="13"/>
  <c r="BD16" i="13"/>
  <c r="BI16" i="13"/>
  <c r="AL16" i="13"/>
  <c r="BD48" i="13"/>
  <c r="BE48" i="13"/>
  <c r="AV48" i="13"/>
  <c r="AN48" i="13"/>
  <c r="AO20" i="13"/>
  <c r="BI20" i="13"/>
  <c r="BF20" i="13"/>
  <c r="BD20" i="13"/>
  <c r="AK52" i="13"/>
  <c r="AR52" i="13"/>
  <c r="AO52" i="13"/>
  <c r="BH52" i="13"/>
  <c r="AT42" i="13"/>
  <c r="AN42" i="13"/>
  <c r="BA42" i="13"/>
  <c r="BB37" i="13"/>
  <c r="BG37" i="13"/>
  <c r="AN37" i="13"/>
  <c r="BD33" i="13"/>
  <c r="BI33" i="13"/>
  <c r="AW33" i="13"/>
  <c r="AY49" i="13"/>
  <c r="AV49" i="13"/>
  <c r="AO49" i="13"/>
  <c r="BF49" i="13"/>
  <c r="AZ43" i="13"/>
  <c r="AJ50" i="13"/>
  <c r="A78" i="35" s="1" a="1"/>
  <c r="A78" i="35" s="1"/>
  <c r="BJ51" i="13"/>
  <c r="AZ22" i="13"/>
  <c r="AJ26" i="13"/>
  <c r="AK47" i="13"/>
  <c r="AJ14" i="13"/>
  <c r="A101" i="35" s="1" a="1"/>
  <c r="A101" i="35" s="1"/>
  <c r="AM21" i="13"/>
  <c r="BE28" i="13"/>
  <c r="AL24" i="13"/>
  <c r="AR48" i="13"/>
  <c r="AK20" i="13"/>
  <c r="BI52" i="13"/>
  <c r="BF37" i="13"/>
  <c r="BC33" i="13"/>
  <c r="AV43" i="13"/>
  <c r="AJ39" i="13"/>
  <c r="BE43" i="13"/>
  <c r="AQ43" i="13"/>
  <c r="BH43" i="13"/>
  <c r="AU43" i="13"/>
  <c r="AT43" i="13"/>
  <c r="BA43" i="13"/>
  <c r="AW39" i="13"/>
  <c r="AZ39" i="13"/>
  <c r="AX39" i="13"/>
  <c r="AL39" i="13"/>
  <c r="AM40" i="13"/>
  <c r="AL40" i="13"/>
  <c r="AZ40" i="13"/>
  <c r="AX40" i="13"/>
  <c r="BI50" i="13"/>
  <c r="E93" i="35" s="1" a="1"/>
  <c r="E93" i="35" s="1"/>
  <c r="BE50" i="13"/>
  <c r="A93" i="35" s="1" a="1"/>
  <c r="A93" i="35" s="1"/>
  <c r="BD50" i="13"/>
  <c r="G88" i="35" s="1" a="1"/>
  <c r="G88" i="35" s="1"/>
  <c r="AW51" i="13"/>
  <c r="AX51" i="13"/>
  <c r="BD51" i="13"/>
  <c r="BK51" i="13"/>
  <c r="AV13" i="13"/>
  <c r="AO13" i="13"/>
  <c r="BF13" i="13"/>
  <c r="AZ17" i="13"/>
  <c r="AP17" i="13"/>
  <c r="AU17" i="13"/>
  <c r="AK38" i="13"/>
  <c r="BD38" i="13"/>
  <c r="BG38" i="13"/>
  <c r="BK38" i="13"/>
  <c r="AV34" i="13"/>
  <c r="AU34" i="13"/>
  <c r="AO34" i="13"/>
  <c r="AN34" i="13"/>
  <c r="AW22" i="13"/>
  <c r="G106" i="28" s="1" a="1"/>
  <c r="G106" i="28" s="1"/>
  <c r="AY22" i="13"/>
  <c r="AP22" i="13"/>
  <c r="G101" i="20" s="1" a="1"/>
  <c r="G101" i="20" s="1"/>
  <c r="AR30" i="13"/>
  <c r="BA30" i="13"/>
  <c r="AQ30" i="13"/>
  <c r="BF26" i="13"/>
  <c r="AQ26" i="13"/>
  <c r="BB26" i="13"/>
  <c r="AR26" i="13"/>
  <c r="AT47" i="13"/>
  <c r="BF47" i="13"/>
  <c r="BB47" i="13"/>
  <c r="BK47" i="13"/>
  <c r="BJ14" i="13"/>
  <c r="F116" i="35" s="1" a="1"/>
  <c r="F116" i="35" s="1"/>
  <c r="AY14" i="13"/>
  <c r="B111" i="35" s="1" a="1"/>
  <c r="B111" i="35" s="1"/>
  <c r="BE14" i="13"/>
  <c r="BH14" i="13"/>
  <c r="D116" i="35" s="1" a="1"/>
  <c r="D116" i="35" s="1"/>
  <c r="AU21" i="13"/>
  <c r="BD21" i="13"/>
  <c r="BA21" i="13"/>
  <c r="AX21" i="13"/>
  <c r="BK36" i="13"/>
  <c r="AS36" i="13"/>
  <c r="AQ36" i="13"/>
  <c r="AY36" i="13"/>
  <c r="BJ28" i="13"/>
  <c r="BB28" i="13"/>
  <c r="AJ28" i="13"/>
  <c r="AX28" i="13"/>
  <c r="AM24" i="13"/>
  <c r="AW24" i="13"/>
  <c r="AQ24" i="13"/>
  <c r="AY35" i="13"/>
  <c r="BF35" i="13"/>
  <c r="BA35" i="13"/>
  <c r="AN16" i="13"/>
  <c r="AU16" i="13"/>
  <c r="AR16" i="13"/>
  <c r="AT48" i="13"/>
  <c r="BK48" i="13"/>
  <c r="BI48" i="13"/>
  <c r="AY48" i="13"/>
  <c r="BJ20" i="13"/>
  <c r="AM20" i="13"/>
  <c r="AP20" i="13"/>
  <c r="AU20" i="13"/>
  <c r="BC52" i="13"/>
  <c r="AP52" i="13"/>
  <c r="BK52" i="13"/>
  <c r="AM52" i="13"/>
  <c r="BC42" i="13"/>
  <c r="BG42" i="13"/>
  <c r="AY42" i="13"/>
  <c r="AX37" i="13"/>
  <c r="BK37" i="13"/>
  <c r="AM37" i="13"/>
  <c r="AR33" i="13"/>
  <c r="AJ33" i="13"/>
  <c r="AO33" i="13"/>
  <c r="AU49" i="13"/>
  <c r="AT49" i="13"/>
  <c r="BJ49" i="13"/>
  <c r="AZ49" i="13"/>
  <c r="C106" i="35" l="1" a="1"/>
  <c r="C106" i="35" s="1"/>
  <c r="G111" i="35" a="1"/>
  <c r="G111" i="35" s="1"/>
  <c r="E116" i="35" a="1"/>
  <c r="E116" i="35" s="1"/>
  <c r="F106" i="35" a="1"/>
  <c r="F106" i="35" s="1"/>
  <c r="B101" i="35" a="1"/>
  <c r="B101" i="35" s="1"/>
  <c r="G101" i="35" a="1"/>
  <c r="G101" i="35" s="1"/>
  <c r="C101" i="35" a="1"/>
  <c r="C101" i="35" s="1"/>
  <c r="G106" i="35" a="1"/>
  <c r="G106" i="35" s="1"/>
  <c r="A106" i="35" a="1"/>
  <c r="A106" i="35" s="1"/>
  <c r="A116" i="35" a="1"/>
  <c r="A116" i="35" s="1"/>
  <c r="F101" i="35" a="1"/>
  <c r="F101" i="35" s="1"/>
  <c r="E111" i="35" a="1"/>
  <c r="E111" i="35" s="1"/>
  <c r="D116" i="20" a="1"/>
  <c r="D116" i="20" s="1"/>
  <c r="B106" i="20" a="1"/>
  <c r="B106" i="20" s="1"/>
  <c r="C111" i="28" a="1"/>
  <c r="C111" i="28" s="1"/>
  <c r="H39" i="35"/>
  <c r="I39" i="35"/>
  <c r="J39" i="35"/>
  <c r="H59" i="35"/>
  <c r="I59" i="35"/>
  <c r="J59" i="35"/>
  <c r="H70" i="35"/>
  <c r="I70" i="35"/>
  <c r="J70" i="35"/>
  <c r="O40" i="35"/>
  <c r="P40" i="35"/>
  <c r="Q40" i="35"/>
  <c r="B116" i="28" a="1"/>
  <c r="B116" i="28" s="1"/>
  <c r="O52" i="35"/>
  <c r="P52" i="35"/>
  <c r="Q52" i="35"/>
  <c r="D101" i="28" a="1"/>
  <c r="D101" i="28" s="1"/>
  <c r="O38" i="35"/>
  <c r="P38" i="35"/>
  <c r="Q38" i="35"/>
  <c r="O43" i="35"/>
  <c r="P43" i="35"/>
  <c r="Q43" i="35"/>
  <c r="H58" i="35"/>
  <c r="I58" i="35"/>
  <c r="J58" i="35"/>
  <c r="O68" i="35"/>
  <c r="P68" i="35"/>
  <c r="Q68" i="35"/>
  <c r="O71" i="35"/>
  <c r="P71" i="35"/>
  <c r="Q71" i="35"/>
  <c r="H67" i="35"/>
  <c r="I67" i="35"/>
  <c r="J67" i="35"/>
  <c r="O60" i="35"/>
  <c r="P60" i="35"/>
  <c r="Q60" i="35"/>
  <c r="C106" i="20" a="1"/>
  <c r="C106" i="20" s="1"/>
  <c r="H49" i="35"/>
  <c r="I49" i="35"/>
  <c r="J49" i="35"/>
  <c r="O39" i="35"/>
  <c r="P39" i="35"/>
  <c r="Q39" i="35"/>
  <c r="F111" i="20" a="1"/>
  <c r="F111" i="20" s="1"/>
  <c r="O48" i="35"/>
  <c r="P48" i="35"/>
  <c r="Q48" i="35"/>
  <c r="O41" i="35"/>
  <c r="P41" i="35"/>
  <c r="Q41" i="35"/>
  <c r="H50" i="35"/>
  <c r="I50" i="35"/>
  <c r="J50" i="35"/>
  <c r="O53" i="35"/>
  <c r="P53" i="35"/>
  <c r="Q53" i="35"/>
  <c r="H48" i="35"/>
  <c r="I48" i="35"/>
  <c r="J48" i="35"/>
  <c r="H63" i="35"/>
  <c r="I63" i="35"/>
  <c r="J63" i="35"/>
  <c r="O59" i="35"/>
  <c r="P59" i="35"/>
  <c r="Q59" i="35"/>
  <c r="H71" i="35"/>
  <c r="I71" i="35"/>
  <c r="J71" i="35"/>
  <c r="O62" i="35"/>
  <c r="P62" i="35"/>
  <c r="Q62" i="35"/>
  <c r="O50" i="35"/>
  <c r="P50" i="35"/>
  <c r="Q50" i="35"/>
  <c r="H69" i="35"/>
  <c r="I69" i="35"/>
  <c r="J69" i="35"/>
  <c r="H72" i="35"/>
  <c r="I72" i="35"/>
  <c r="J72" i="35"/>
  <c r="O47" i="35"/>
  <c r="P47" i="35"/>
  <c r="Q47" i="35"/>
  <c r="H61" i="35"/>
  <c r="I61" i="35"/>
  <c r="J61" i="35"/>
  <c r="H62" i="35"/>
  <c r="I62" i="35"/>
  <c r="J62" i="35"/>
  <c r="O63" i="35"/>
  <c r="P63" i="35"/>
  <c r="Q63" i="35"/>
  <c r="O73" i="35"/>
  <c r="P73" i="35"/>
  <c r="Q73" i="35"/>
  <c r="O37" i="35"/>
  <c r="P37" i="35"/>
  <c r="Q37" i="35"/>
  <c r="O51" i="35"/>
  <c r="P51" i="35"/>
  <c r="Q51" i="35"/>
  <c r="O57" i="35"/>
  <c r="P57" i="35"/>
  <c r="Q57" i="35"/>
  <c r="E116" i="20" a="1"/>
  <c r="E116" i="20" s="1"/>
  <c r="H60" i="35"/>
  <c r="I60" i="35"/>
  <c r="J60" i="35"/>
  <c r="H42" i="35"/>
  <c r="I42" i="35"/>
  <c r="J42" i="35"/>
  <c r="E106" i="28" a="1"/>
  <c r="E106" i="28" s="1"/>
  <c r="O72" i="35"/>
  <c r="P72" i="35"/>
  <c r="Q72" i="35"/>
  <c r="H37" i="35"/>
  <c r="I37" i="35"/>
  <c r="J37" i="35"/>
  <c r="B111" i="28" a="1"/>
  <c r="B111" i="28" s="1"/>
  <c r="H57" i="35"/>
  <c r="I57" i="35"/>
  <c r="J57" i="35"/>
  <c r="Z4" i="35" s="1"/>
  <c r="O69" i="35"/>
  <c r="P69" i="35"/>
  <c r="Q69" i="35"/>
  <c r="D111" i="28" a="1"/>
  <c r="D111" i="28" s="1"/>
  <c r="H38" i="35"/>
  <c r="I38" i="35"/>
  <c r="J38" i="35"/>
  <c r="H68" i="35"/>
  <c r="I68" i="35"/>
  <c r="J68" i="35"/>
  <c r="A101" i="20" a="1"/>
  <c r="A101" i="20" s="1"/>
  <c r="H53" i="35"/>
  <c r="I53" i="35"/>
  <c r="J53" i="35"/>
  <c r="C116" i="20" a="1"/>
  <c r="C116" i="20" s="1"/>
  <c r="O49" i="35"/>
  <c r="P49" i="35"/>
  <c r="Q49" i="35"/>
  <c r="F116" i="28" a="1"/>
  <c r="F116" i="28" s="1"/>
  <c r="Q72" i="28" s="1"/>
  <c r="O70" i="35"/>
  <c r="P70" i="35"/>
  <c r="Q70" i="35"/>
  <c r="O67" i="35"/>
  <c r="P67" i="35"/>
  <c r="Q67" i="35"/>
  <c r="H73" i="35"/>
  <c r="I73" i="35"/>
  <c r="J73" i="35"/>
  <c r="H40" i="35"/>
  <c r="I40" i="35"/>
  <c r="J40" i="35"/>
  <c r="H41" i="35"/>
  <c r="I41" i="35"/>
  <c r="J41" i="35"/>
  <c r="H52" i="35"/>
  <c r="I52" i="35"/>
  <c r="J52" i="35"/>
  <c r="E101" i="20" a="1"/>
  <c r="E101" i="20" s="1"/>
  <c r="D106" i="28" a="1"/>
  <c r="D106" i="28" s="1"/>
  <c r="H43" i="35"/>
  <c r="I43" i="35"/>
  <c r="J43" i="35"/>
  <c r="O58" i="35"/>
  <c r="P58" i="35"/>
  <c r="Q58" i="35"/>
  <c r="H51" i="35"/>
  <c r="I51" i="35"/>
  <c r="J51" i="35"/>
  <c r="H47" i="35"/>
  <c r="I47" i="35"/>
  <c r="J47" i="35"/>
  <c r="G116" i="20" a="1"/>
  <c r="G116" i="20" s="1"/>
  <c r="O42" i="35"/>
  <c r="P42" i="35"/>
  <c r="Q42" i="35"/>
  <c r="A111" i="28" a="1"/>
  <c r="A111" i="28" s="1"/>
  <c r="O61" i="35"/>
  <c r="P61" i="35"/>
  <c r="Q61" i="35"/>
  <c r="DZ11" i="35"/>
  <c r="ER11" i="35" s="1"/>
  <c r="CO11" i="35"/>
  <c r="CN12" i="35"/>
  <c r="AP13" i="35"/>
  <c r="BB12" i="35"/>
  <c r="BJ12" i="35"/>
  <c r="BR12" i="35"/>
  <c r="BF12" i="35"/>
  <c r="G101" i="28" a="1"/>
  <c r="G101" i="28" s="1"/>
  <c r="Q43" i="28" s="1"/>
  <c r="A101" i="28" a="1"/>
  <c r="A101" i="28" s="1"/>
  <c r="C111" i="20" a="1"/>
  <c r="C111" i="20" s="1"/>
  <c r="P59" i="20" s="1"/>
  <c r="G111" i="20" a="1"/>
  <c r="G111" i="20" s="1"/>
  <c r="Q63" i="20" s="1"/>
  <c r="E106" i="20" a="1"/>
  <c r="E106" i="20" s="1"/>
  <c r="O51" i="20" s="1"/>
  <c r="C106" i="28" a="1"/>
  <c r="C106" i="28" s="1"/>
  <c r="Q49" i="28" s="1"/>
  <c r="E101" i="28" a="1"/>
  <c r="E101" i="28" s="1"/>
  <c r="Q41" i="28" s="1"/>
  <c r="D111" i="20" a="1"/>
  <c r="D111" i="20" s="1"/>
  <c r="P60" i="20" s="1"/>
  <c r="F101" i="28" a="1"/>
  <c r="F101" i="28" s="1"/>
  <c r="P42" i="28" s="1"/>
  <c r="E116" i="28" a="1"/>
  <c r="E116" i="28" s="1"/>
  <c r="Q71" i="28" s="1"/>
  <c r="F116" i="20" a="1"/>
  <c r="F116" i="20" s="1"/>
  <c r="O72" i="20" s="1"/>
  <c r="C116" i="28" a="1"/>
  <c r="C116" i="28" s="1"/>
  <c r="Q69" i="28" s="1"/>
  <c r="A106" i="28" a="1"/>
  <c r="A106" i="28" s="1"/>
  <c r="Q47" i="28" s="1"/>
  <c r="A111" i="20" a="1"/>
  <c r="A111" i="20" s="1"/>
  <c r="Q57" i="20" s="1"/>
  <c r="G106" i="20" a="1"/>
  <c r="G106" i="20" s="1"/>
  <c r="Q53" i="20" s="1"/>
  <c r="F111" i="28" a="1"/>
  <c r="F111" i="28" s="1"/>
  <c r="Q62" i="28" s="1"/>
  <c r="C101" i="28" a="1"/>
  <c r="C101" i="28" s="1"/>
  <c r="Q39" i="28" s="1"/>
  <c r="G116" i="28" a="1"/>
  <c r="G116" i="28" s="1"/>
  <c r="B106" i="28" a="1"/>
  <c r="B106" i="28" s="1"/>
  <c r="Q48" i="28" s="1"/>
  <c r="D116" i="28" a="1"/>
  <c r="D116" i="28" s="1"/>
  <c r="Q70" i="28" s="1"/>
  <c r="CO11" i="20"/>
  <c r="DZ11" i="20"/>
  <c r="B116" i="20" a="1"/>
  <c r="B116" i="20" s="1"/>
  <c r="Q68" i="20" s="1"/>
  <c r="CN12" i="28"/>
  <c r="AP13" i="28"/>
  <c r="DZ11" i="28"/>
  <c r="CO11" i="28"/>
  <c r="F106" i="20" a="1"/>
  <c r="F106" i="20" s="1"/>
  <c r="Q52" i="20" s="1"/>
  <c r="B101" i="20" a="1"/>
  <c r="B101" i="20" s="1"/>
  <c r="Q38" i="20" s="1"/>
  <c r="E111" i="20" a="1"/>
  <c r="E111" i="20" s="1"/>
  <c r="P61" i="20" s="1"/>
  <c r="D106" i="20" a="1"/>
  <c r="D106" i="20" s="1"/>
  <c r="Q50" i="20" s="1"/>
  <c r="B111" i="20" a="1"/>
  <c r="B111" i="20" s="1"/>
  <c r="Q58" i="20" s="1"/>
  <c r="A116" i="20" a="1"/>
  <c r="A116" i="20" s="1"/>
  <c r="Q67" i="20" s="1"/>
  <c r="D101" i="20" a="1"/>
  <c r="D101" i="20" s="1"/>
  <c r="Q40" i="20" s="1"/>
  <c r="O10" i="28"/>
  <c r="O11" i="28" s="1"/>
  <c r="P11" i="28" s="1"/>
  <c r="Q11" i="28" s="1"/>
  <c r="R11" i="28" s="1"/>
  <c r="T11" i="28" s="1"/>
  <c r="U11" i="28" s="1"/>
  <c r="V11" i="28" s="1"/>
  <c r="CO12" i="20"/>
  <c r="DZ12" i="20"/>
  <c r="AP14" i="20"/>
  <c r="CN13" i="20"/>
  <c r="G93" i="28" a="1"/>
  <c r="G93" i="28" s="1"/>
  <c r="G93" i="20" a="1"/>
  <c r="G93" i="20" s="1"/>
  <c r="B88" i="28" a="1"/>
  <c r="B88" i="28" s="1"/>
  <c r="B88" i="20" a="1"/>
  <c r="B88" i="20" s="1"/>
  <c r="E93" i="28" a="1"/>
  <c r="E93" i="28" s="1"/>
  <c r="E93" i="20" a="1"/>
  <c r="E93" i="20" s="1"/>
  <c r="O63" i="20"/>
  <c r="G88" i="28" a="1"/>
  <c r="G88" i="28" s="1"/>
  <c r="G88" i="20" a="1"/>
  <c r="G88" i="20" s="1"/>
  <c r="B93" i="28" a="1"/>
  <c r="B93" i="28" s="1"/>
  <c r="B93" i="20" a="1"/>
  <c r="B93" i="20" s="1"/>
  <c r="D93" i="28" a="1"/>
  <c r="D93" i="28" s="1"/>
  <c r="D93" i="20" a="1"/>
  <c r="D93" i="20" s="1"/>
  <c r="Q60" i="28"/>
  <c r="P60" i="28"/>
  <c r="O60" i="28"/>
  <c r="Q57" i="28"/>
  <c r="O57" i="28"/>
  <c r="P57" i="28"/>
  <c r="Q59" i="28"/>
  <c r="O59" i="28"/>
  <c r="P59" i="28"/>
  <c r="Q51" i="28"/>
  <c r="P51" i="28"/>
  <c r="O51" i="28"/>
  <c r="Q53" i="28"/>
  <c r="O53" i="28"/>
  <c r="P53" i="28"/>
  <c r="Q63" i="28"/>
  <c r="P63" i="28"/>
  <c r="O63" i="28"/>
  <c r="A88" i="28" a="1"/>
  <c r="A88" i="28" s="1"/>
  <c r="A88" i="20" a="1"/>
  <c r="A88" i="20" s="1"/>
  <c r="C83" i="28" a="1"/>
  <c r="C83" i="28" s="1"/>
  <c r="C83" i="20" a="1"/>
  <c r="C83" i="20" s="1"/>
  <c r="A93" i="28" a="1"/>
  <c r="A93" i="28" s="1"/>
  <c r="A93" i="20" a="1"/>
  <c r="A93" i="20" s="1"/>
  <c r="C78" i="28" a="1"/>
  <c r="C78" i="28" s="1"/>
  <c r="C78" i="20" a="1"/>
  <c r="C78" i="20" s="1"/>
  <c r="G83" i="28" a="1"/>
  <c r="G83" i="28" s="1"/>
  <c r="G83" i="20" a="1"/>
  <c r="G83" i="20" s="1"/>
  <c r="F93" i="28" a="1"/>
  <c r="F93" i="28" s="1"/>
  <c r="F93" i="20" a="1"/>
  <c r="F93" i="20" s="1"/>
  <c r="F78" i="28" a="1"/>
  <c r="F78" i="28" s="1"/>
  <c r="F78" i="20" a="1"/>
  <c r="F78" i="20" s="1"/>
  <c r="E83" i="28" a="1"/>
  <c r="E83" i="28" s="1"/>
  <c r="E83" i="20" a="1"/>
  <c r="E83" i="20" s="1"/>
  <c r="F83" i="28" a="1"/>
  <c r="F83" i="28" s="1"/>
  <c r="F83" i="20" a="1"/>
  <c r="F83" i="20" s="1"/>
  <c r="Q52" i="28"/>
  <c r="P52" i="28"/>
  <c r="O52" i="28"/>
  <c r="Q38" i="28"/>
  <c r="O38" i="28"/>
  <c r="P38" i="28"/>
  <c r="Q61" i="28"/>
  <c r="O61" i="28"/>
  <c r="P61" i="28"/>
  <c r="Q50" i="28"/>
  <c r="P50" i="28"/>
  <c r="O50" i="28"/>
  <c r="Q58" i="28"/>
  <c r="P58" i="28"/>
  <c r="O58" i="28"/>
  <c r="Q67" i="28"/>
  <c r="O67" i="28"/>
  <c r="P67" i="28"/>
  <c r="Q40" i="28"/>
  <c r="O40" i="28"/>
  <c r="P40" i="28"/>
  <c r="D78" i="28" a="1"/>
  <c r="D78" i="28" s="1"/>
  <c r="D78" i="20" a="1"/>
  <c r="D78" i="20" s="1"/>
  <c r="E78" i="28" a="1"/>
  <c r="E78" i="28" s="1"/>
  <c r="E78" i="20" a="1"/>
  <c r="E78" i="20" s="1"/>
  <c r="D88" i="28" a="1"/>
  <c r="D88" i="28" s="1"/>
  <c r="D88" i="20" a="1"/>
  <c r="D88" i="20" s="1"/>
  <c r="E88" i="28" a="1"/>
  <c r="E88" i="28" s="1"/>
  <c r="E88" i="20" a="1"/>
  <c r="E88" i="20" s="1"/>
  <c r="Q71" i="20"/>
  <c r="O71" i="20"/>
  <c r="P71" i="20"/>
  <c r="Q62" i="20"/>
  <c r="P62" i="20"/>
  <c r="O62" i="20"/>
  <c r="Q39" i="20"/>
  <c r="O39" i="20"/>
  <c r="P39" i="20"/>
  <c r="Q41" i="20"/>
  <c r="P41" i="20"/>
  <c r="O41" i="20"/>
  <c r="Q73" i="20"/>
  <c r="O73" i="20"/>
  <c r="P73" i="20"/>
  <c r="Q48" i="20"/>
  <c r="O48" i="20"/>
  <c r="P48" i="20"/>
  <c r="Q70" i="20"/>
  <c r="O70" i="20"/>
  <c r="P70" i="20"/>
  <c r="F88" i="28" a="1"/>
  <c r="F88" i="28" s="1"/>
  <c r="F88" i="20" a="1"/>
  <c r="F88" i="20" s="1"/>
  <c r="D83" i="28" a="1"/>
  <c r="D83" i="28" s="1"/>
  <c r="D83" i="20" a="1"/>
  <c r="D83" i="20" s="1"/>
  <c r="G78" i="28" a="1"/>
  <c r="G78" i="28" s="1"/>
  <c r="G78" i="20" a="1"/>
  <c r="G78" i="20" s="1"/>
  <c r="C93" i="28" a="1"/>
  <c r="C93" i="28" s="1"/>
  <c r="C93" i="20" a="1"/>
  <c r="C93" i="20" s="1"/>
  <c r="Q73" i="28"/>
  <c r="P73" i="28"/>
  <c r="O73" i="28"/>
  <c r="C88" i="28" a="1"/>
  <c r="C88" i="28" s="1"/>
  <c r="C88" i="20" a="1"/>
  <c r="C88" i="20" s="1"/>
  <c r="A78" i="28" a="1"/>
  <c r="A78" i="28" s="1"/>
  <c r="A78" i="20" a="1"/>
  <c r="A78" i="20" s="1"/>
  <c r="Q69" i="20"/>
  <c r="P69" i="20"/>
  <c r="O69" i="20"/>
  <c r="Q43" i="20"/>
  <c r="P43" i="20"/>
  <c r="O43" i="20"/>
  <c r="O68" i="20"/>
  <c r="Q42" i="20"/>
  <c r="O42" i="20"/>
  <c r="P42" i="20"/>
  <c r="Q47" i="20"/>
  <c r="P47" i="20"/>
  <c r="O47" i="20"/>
  <c r="Q37" i="20"/>
  <c r="P37" i="20"/>
  <c r="O37" i="20"/>
  <c r="Q49" i="20"/>
  <c r="O49" i="20"/>
  <c r="P49" i="20"/>
  <c r="B83" i="28" a="1"/>
  <c r="B83" i="28" s="1"/>
  <c r="B83" i="20" a="1"/>
  <c r="B83" i="20" s="1"/>
  <c r="B78" i="28" a="1"/>
  <c r="B78" i="28" s="1"/>
  <c r="B78" i="20" a="1"/>
  <c r="B78" i="20" s="1"/>
  <c r="A83" i="28" a="1"/>
  <c r="A83" i="28" s="1"/>
  <c r="A83" i="20" a="1"/>
  <c r="A83" i="20" s="1"/>
  <c r="P69" i="28"/>
  <c r="O69" i="28"/>
  <c r="O43" i="28"/>
  <c r="Q68" i="28"/>
  <c r="P68" i="28"/>
  <c r="O68" i="28"/>
  <c r="Q42" i="28"/>
  <c r="Q37" i="28"/>
  <c r="O37" i="28"/>
  <c r="P37" i="28"/>
  <c r="P72" i="28" l="1"/>
  <c r="AA4" i="35"/>
  <c r="AZ4" i="35" s="1"/>
  <c r="AC4" i="35"/>
  <c r="AD4" i="35" s="1"/>
  <c r="AK4" i="35"/>
  <c r="AL5" i="35" s="1"/>
  <c r="AY4" i="35"/>
  <c r="AE4" i="35"/>
  <c r="AI4" i="35"/>
  <c r="AJ4" i="35" s="1"/>
  <c r="AG4" i="35"/>
  <c r="AH4" i="35" s="1"/>
  <c r="O72" i="28"/>
  <c r="O61" i="20"/>
  <c r="Q61" i="20"/>
  <c r="P38" i="20"/>
  <c r="P72" i="20"/>
  <c r="Q72" i="20"/>
  <c r="O59" i="20"/>
  <c r="Q59" i="20"/>
  <c r="O42" i="28"/>
  <c r="P68" i="20"/>
  <c r="Q51" i="20"/>
  <c r="O70" i="28"/>
  <c r="P63" i="20"/>
  <c r="P49" i="28"/>
  <c r="P70" i="28"/>
  <c r="O38" i="20"/>
  <c r="P47" i="28"/>
  <c r="P40" i="20"/>
  <c r="O47" i="28"/>
  <c r="O40" i="20"/>
  <c r="P43" i="28"/>
  <c r="P51" i="20"/>
  <c r="CN13" i="35"/>
  <c r="AP14" i="35"/>
  <c r="CO12" i="35"/>
  <c r="DZ12" i="35"/>
  <c r="ER12" i="35" s="1"/>
  <c r="DY11" i="35"/>
  <c r="EQ11" i="35" s="1"/>
  <c r="CP11" i="35"/>
  <c r="IW11" i="35"/>
  <c r="IH11" i="35"/>
  <c r="GO11" i="35"/>
  <c r="HD11" i="35"/>
  <c r="HS11" i="35"/>
  <c r="FK11" i="35"/>
  <c r="FZ11" i="35"/>
  <c r="P62" i="28"/>
  <c r="O62" i="28"/>
  <c r="O41" i="28"/>
  <c r="P67" i="20"/>
  <c r="Q60" i="20"/>
  <c r="P41" i="28"/>
  <c r="O67" i="20"/>
  <c r="O53" i="20"/>
  <c r="O60" i="20"/>
  <c r="P39" i="28"/>
  <c r="O58" i="20"/>
  <c r="P53" i="20"/>
  <c r="O39" i="28"/>
  <c r="P58" i="20"/>
  <c r="P50" i="20"/>
  <c r="O49" i="28"/>
  <c r="O50" i="20"/>
  <c r="P57" i="20"/>
  <c r="O57" i="20"/>
  <c r="P71" i="28"/>
  <c r="O48" i="28"/>
  <c r="O71" i="28"/>
  <c r="P48" i="28"/>
  <c r="CN13" i="28"/>
  <c r="AP14" i="28"/>
  <c r="ER11" i="20"/>
  <c r="O52" i="20"/>
  <c r="ER12" i="20"/>
  <c r="CO12" i="28"/>
  <c r="DZ12" i="28"/>
  <c r="ER12" i="28" s="1"/>
  <c r="CP11" i="20"/>
  <c r="DY11" i="20"/>
  <c r="EQ11" i="20" s="1"/>
  <c r="P52" i="20"/>
  <c r="DY12" i="20"/>
  <c r="CP12" i="20"/>
  <c r="DZ13" i="20"/>
  <c r="ER13" i="20" s="1"/>
  <c r="CO13" i="20"/>
  <c r="DY11" i="28"/>
  <c r="EQ11" i="28" s="1"/>
  <c r="CP11" i="28"/>
  <c r="AP15" i="20"/>
  <c r="CN14" i="20"/>
  <c r="ER11" i="28"/>
  <c r="J38" i="28"/>
  <c r="H38" i="28"/>
  <c r="I38" i="28"/>
  <c r="J37" i="20"/>
  <c r="H37" i="20"/>
  <c r="I37" i="20"/>
  <c r="J62" i="28"/>
  <c r="H62" i="28"/>
  <c r="I62" i="28"/>
  <c r="J60" i="20"/>
  <c r="H60" i="20"/>
  <c r="I60" i="20"/>
  <c r="J42" i="28"/>
  <c r="I42" i="28"/>
  <c r="H42" i="28"/>
  <c r="J57" i="20"/>
  <c r="H57" i="20"/>
  <c r="I57" i="20"/>
  <c r="J70" i="28"/>
  <c r="I70" i="28"/>
  <c r="H70" i="28"/>
  <c r="J48" i="20"/>
  <c r="H48" i="20"/>
  <c r="I48" i="20"/>
  <c r="J37" i="28"/>
  <c r="H37" i="28"/>
  <c r="I37" i="28"/>
  <c r="J69" i="20"/>
  <c r="H69" i="20"/>
  <c r="I69" i="20"/>
  <c r="J60" i="28"/>
  <c r="H60" i="28"/>
  <c r="I60" i="28"/>
  <c r="J72" i="20"/>
  <c r="I72" i="20"/>
  <c r="H72" i="20"/>
  <c r="J57" i="28"/>
  <c r="H57" i="28"/>
  <c r="I57" i="28"/>
  <c r="J68" i="20"/>
  <c r="H68" i="20"/>
  <c r="I68" i="20"/>
  <c r="J48" i="28"/>
  <c r="I48" i="28"/>
  <c r="H48" i="28"/>
  <c r="J59" i="20"/>
  <c r="H59" i="20"/>
  <c r="I59" i="20"/>
  <c r="J69" i="28"/>
  <c r="H69" i="28"/>
  <c r="I69" i="28"/>
  <c r="J41" i="20"/>
  <c r="I41" i="20"/>
  <c r="H41" i="20"/>
  <c r="J72" i="28"/>
  <c r="H72" i="28"/>
  <c r="I72" i="28"/>
  <c r="J39" i="20"/>
  <c r="I39" i="20"/>
  <c r="H39" i="20"/>
  <c r="J68" i="28"/>
  <c r="H68" i="28"/>
  <c r="I68" i="28"/>
  <c r="J71" i="20"/>
  <c r="I71" i="20"/>
  <c r="H71" i="20"/>
  <c r="J43" i="20"/>
  <c r="H43" i="20"/>
  <c r="I43" i="20"/>
  <c r="J41" i="28"/>
  <c r="H41" i="28"/>
  <c r="I41" i="28"/>
  <c r="J52" i="20"/>
  <c r="I52" i="20"/>
  <c r="H52" i="20"/>
  <c r="J53" i="20"/>
  <c r="H53" i="20"/>
  <c r="I53" i="20"/>
  <c r="J39" i="28"/>
  <c r="I39" i="28"/>
  <c r="H39" i="28"/>
  <c r="J63" i="20"/>
  <c r="H63" i="20"/>
  <c r="I63" i="20"/>
  <c r="J71" i="28"/>
  <c r="H71" i="28"/>
  <c r="I71" i="28"/>
  <c r="J43" i="28"/>
  <c r="H43" i="28"/>
  <c r="I43" i="28"/>
  <c r="J40" i="20"/>
  <c r="I40" i="20"/>
  <c r="H40" i="20"/>
  <c r="J52" i="28"/>
  <c r="I52" i="28"/>
  <c r="H52" i="28"/>
  <c r="J53" i="28"/>
  <c r="I53" i="28"/>
  <c r="H53" i="28"/>
  <c r="J67" i="20"/>
  <c r="I67" i="20"/>
  <c r="H67" i="20"/>
  <c r="J63" i="28"/>
  <c r="I63" i="28"/>
  <c r="H63" i="28"/>
  <c r="J58" i="20"/>
  <c r="H58" i="20"/>
  <c r="I58" i="20"/>
  <c r="J47" i="20"/>
  <c r="I47" i="20"/>
  <c r="H47" i="20"/>
  <c r="J50" i="20"/>
  <c r="H50" i="20"/>
  <c r="I50" i="20"/>
  <c r="J40" i="28"/>
  <c r="I40" i="28"/>
  <c r="H40" i="28"/>
  <c r="J51" i="20"/>
  <c r="I51" i="20"/>
  <c r="H51" i="20"/>
  <c r="J67" i="28"/>
  <c r="H67" i="28"/>
  <c r="I67" i="28"/>
  <c r="J58" i="28"/>
  <c r="H58" i="28"/>
  <c r="I58" i="28"/>
  <c r="J59" i="28"/>
  <c r="H59" i="28"/>
  <c r="I59" i="28"/>
  <c r="J47" i="28"/>
  <c r="I47" i="28"/>
  <c r="H47" i="28"/>
  <c r="J50" i="28"/>
  <c r="I50" i="28"/>
  <c r="H50" i="28"/>
  <c r="J61" i="20"/>
  <c r="H61" i="20"/>
  <c r="I61" i="20"/>
  <c r="J51" i="28"/>
  <c r="H51" i="28"/>
  <c r="I51" i="28"/>
  <c r="J49" i="20"/>
  <c r="I49" i="20"/>
  <c r="H49" i="20"/>
  <c r="J73" i="20"/>
  <c r="I73" i="20"/>
  <c r="H73" i="20"/>
  <c r="J38" i="20"/>
  <c r="I38" i="20"/>
  <c r="H38" i="20"/>
  <c r="J62" i="20"/>
  <c r="H62" i="20"/>
  <c r="I62" i="20"/>
  <c r="J61" i="28"/>
  <c r="I61" i="28"/>
  <c r="H61" i="28"/>
  <c r="J42" i="20"/>
  <c r="I42" i="20"/>
  <c r="H42" i="20"/>
  <c r="J49" i="28"/>
  <c r="I49" i="28"/>
  <c r="H49" i="28"/>
  <c r="J70" i="20"/>
  <c r="H70" i="20"/>
  <c r="I70" i="20"/>
  <c r="J73" i="28"/>
  <c r="I73" i="28"/>
  <c r="H73" i="28"/>
  <c r="BE4" i="35" l="1"/>
  <c r="BF4" i="35"/>
  <c r="BQ4" i="35"/>
  <c r="BR4" i="35"/>
  <c r="BR13" i="35" s="1"/>
  <c r="BR14" i="35" s="1"/>
  <c r="BR15" i="35" s="1"/>
  <c r="BR16" i="35" s="1"/>
  <c r="BR17" i="35" s="1"/>
  <c r="AZ44" i="35"/>
  <c r="AZ13" i="35"/>
  <c r="AZ14" i="35" s="1"/>
  <c r="AZ15" i="35" s="1"/>
  <c r="AH5" i="35"/>
  <c r="BL4" i="35"/>
  <c r="AJ5" i="35"/>
  <c r="BP4" i="35"/>
  <c r="AD5" i="35"/>
  <c r="BD4" i="35"/>
  <c r="BN4" i="35"/>
  <c r="BM4" i="35"/>
  <c r="AF5" i="35"/>
  <c r="BH4" i="35"/>
  <c r="AF4" i="35"/>
  <c r="AB4" i="35"/>
  <c r="AY32" i="35"/>
  <c r="IP32" i="35" s="1"/>
  <c r="AY35" i="35"/>
  <c r="IP35" i="35" s="1"/>
  <c r="AY40" i="35"/>
  <c r="AY34" i="35"/>
  <c r="IP34" i="35" s="1"/>
  <c r="AY11" i="35"/>
  <c r="AY28" i="35"/>
  <c r="IP28" i="35" s="1"/>
  <c r="AY29" i="35"/>
  <c r="IP29" i="35" s="1"/>
  <c r="AY39" i="35"/>
  <c r="IP39" i="35" s="1"/>
  <c r="AY30" i="35"/>
  <c r="IP30" i="35" s="1"/>
  <c r="AY38" i="35"/>
  <c r="IP38" i="35" s="1"/>
  <c r="AY33" i="35"/>
  <c r="IP33" i="35" s="1"/>
  <c r="AY31" i="35"/>
  <c r="IP31" i="35" s="1"/>
  <c r="AY37" i="35"/>
  <c r="IP37" i="35" s="1"/>
  <c r="AY36" i="35"/>
  <c r="IP36" i="35" s="1"/>
  <c r="AY44" i="35"/>
  <c r="AB5" i="35"/>
  <c r="AL4" i="35"/>
  <c r="BT4" i="35"/>
  <c r="FK127" i="35"/>
  <c r="HS12" i="35"/>
  <c r="FZ12" i="35"/>
  <c r="IW12" i="35"/>
  <c r="FK12" i="35"/>
  <c r="HD12" i="35"/>
  <c r="IH12" i="35"/>
  <c r="GO12" i="35"/>
  <c r="DY12" i="35"/>
  <c r="EQ12" i="35" s="1"/>
  <c r="CP12" i="35"/>
  <c r="AP15" i="35"/>
  <c r="CN14" i="35"/>
  <c r="CO13" i="35"/>
  <c r="DZ13" i="35"/>
  <c r="ER13" i="35" s="1"/>
  <c r="DX11" i="35"/>
  <c r="EP11" i="35" s="1"/>
  <c r="CQ11" i="35"/>
  <c r="HC11" i="35"/>
  <c r="IG11" i="35"/>
  <c r="FY11" i="35"/>
  <c r="GN11" i="35"/>
  <c r="FJ11" i="35"/>
  <c r="HR11" i="35"/>
  <c r="IV11" i="35"/>
  <c r="Z4" i="28"/>
  <c r="AK4" i="28" s="1"/>
  <c r="AL4" i="28" s="1"/>
  <c r="IV11" i="28"/>
  <c r="FY11" i="28"/>
  <c r="IG11" i="28"/>
  <c r="FJ11" i="28"/>
  <c r="GN11" i="28"/>
  <c r="HC11" i="28"/>
  <c r="HR11" i="28"/>
  <c r="CQ11" i="28"/>
  <c r="DX11" i="28"/>
  <c r="EP11" i="28" s="1"/>
  <c r="HS11" i="28"/>
  <c r="IH11" i="28"/>
  <c r="GO11" i="28"/>
  <c r="IW11" i="28"/>
  <c r="HD11" i="28"/>
  <c r="FK11" i="28"/>
  <c r="FZ11" i="28"/>
  <c r="FZ12" i="28"/>
  <c r="IW12" i="28"/>
  <c r="HS12" i="28"/>
  <c r="FK12" i="28"/>
  <c r="GO12" i="28"/>
  <c r="HD12" i="28"/>
  <c r="IH12" i="28"/>
  <c r="IH13" i="20"/>
  <c r="FK13" i="20"/>
  <c r="GO13" i="20"/>
  <c r="FZ13" i="20"/>
  <c r="HS13" i="20"/>
  <c r="IW13" i="20"/>
  <c r="HD13" i="20"/>
  <c r="CQ12" i="20"/>
  <c r="DX12" i="20"/>
  <c r="EP12" i="20" s="1"/>
  <c r="HS11" i="20"/>
  <c r="HD11" i="20"/>
  <c r="IH11" i="20"/>
  <c r="FZ11" i="20"/>
  <c r="IW11" i="20"/>
  <c r="FK11" i="20"/>
  <c r="GO11" i="20"/>
  <c r="CP13" i="20"/>
  <c r="DY13" i="20"/>
  <c r="CP12" i="28"/>
  <c r="DY12" i="28"/>
  <c r="EQ12" i="28" s="1"/>
  <c r="EQ12" i="20"/>
  <c r="CN14" i="28"/>
  <c r="AP15" i="28"/>
  <c r="FY11" i="20"/>
  <c r="IG11" i="20"/>
  <c r="IV11" i="20"/>
  <c r="HR11" i="20"/>
  <c r="FJ11" i="20"/>
  <c r="GN11" i="20"/>
  <c r="HC11" i="20"/>
  <c r="CO14" i="20"/>
  <c r="DZ14" i="20"/>
  <c r="ER14" i="20" s="1"/>
  <c r="CQ11" i="20"/>
  <c r="DX11" i="20"/>
  <c r="HD12" i="20"/>
  <c r="FZ12" i="20"/>
  <c r="IW12" i="20"/>
  <c r="FK12" i="20"/>
  <c r="GO12" i="20"/>
  <c r="IH12" i="20"/>
  <c r="HS12" i="20"/>
  <c r="CO13" i="28"/>
  <c r="DZ13" i="28"/>
  <c r="AP16" i="20"/>
  <c r="CN15" i="20"/>
  <c r="Z4" i="20"/>
  <c r="AA4" i="20" s="1"/>
  <c r="AB4" i="20" s="1"/>
  <c r="BQ11" i="35" l="1"/>
  <c r="BS11" i="35" s="1"/>
  <c r="BQ12" i="35"/>
  <c r="BM11" i="35"/>
  <c r="BO11" i="35" s="1"/>
  <c r="BT44" i="35"/>
  <c r="BT13" i="35"/>
  <c r="IP40" i="35"/>
  <c r="Z9" i="35"/>
  <c r="BN12" i="35"/>
  <c r="BL44" i="35"/>
  <c r="BL13" i="35"/>
  <c r="BU4" i="35"/>
  <c r="BV4" i="35"/>
  <c r="BD44" i="35"/>
  <c r="BD13" i="35"/>
  <c r="FD11" i="35"/>
  <c r="IP11" i="35"/>
  <c r="GH11" i="35"/>
  <c r="GW11" i="35"/>
  <c r="BX11" i="35"/>
  <c r="HL11" i="35"/>
  <c r="CB11" i="35"/>
  <c r="FS11" i="35"/>
  <c r="IA11" i="35"/>
  <c r="AY12" i="35"/>
  <c r="BA4" i="35"/>
  <c r="BB4" i="35"/>
  <c r="BI4" i="35"/>
  <c r="BJ4" i="35"/>
  <c r="BP44" i="35"/>
  <c r="BP13" i="35"/>
  <c r="BF13" i="35"/>
  <c r="BF14" i="35" s="1"/>
  <c r="BH44" i="35"/>
  <c r="BH13" i="35"/>
  <c r="BE11" i="35"/>
  <c r="BG11" i="35" s="1"/>
  <c r="FJ127" i="20"/>
  <c r="FK127" i="20"/>
  <c r="FK129" i="20"/>
  <c r="FK128" i="20"/>
  <c r="FK128" i="35"/>
  <c r="FJ127" i="35"/>
  <c r="IW13" i="35"/>
  <c r="FK13" i="35"/>
  <c r="GO13" i="35"/>
  <c r="FZ13" i="35"/>
  <c r="IH13" i="35"/>
  <c r="HS13" i="35"/>
  <c r="HD13" i="35"/>
  <c r="CP13" i="35"/>
  <c r="DY13" i="35"/>
  <c r="EQ13" i="35" s="1"/>
  <c r="DZ14" i="35"/>
  <c r="CO14" i="35"/>
  <c r="AP16" i="35"/>
  <c r="CN15" i="35"/>
  <c r="DX12" i="35"/>
  <c r="EP12" i="35" s="1"/>
  <c r="CQ12" i="35"/>
  <c r="CR11" i="35"/>
  <c r="DW11" i="35"/>
  <c r="FJ12" i="35"/>
  <c r="GN12" i="35"/>
  <c r="IG12" i="35"/>
  <c r="FY12" i="35"/>
  <c r="HR12" i="35"/>
  <c r="HC12" i="35"/>
  <c r="IV12" i="35"/>
  <c r="HQ11" i="35"/>
  <c r="FI11" i="35"/>
  <c r="IU11" i="35"/>
  <c r="FX11" i="35"/>
  <c r="IF11" i="35"/>
  <c r="GM11" i="35"/>
  <c r="HB11" i="35"/>
  <c r="AZ16" i="35"/>
  <c r="AI4" i="28"/>
  <c r="AJ4" i="28" s="1"/>
  <c r="AE4" i="28"/>
  <c r="AF4" i="28" s="1"/>
  <c r="BI4" i="28" s="1"/>
  <c r="AG4" i="28"/>
  <c r="AH4" i="28" s="1"/>
  <c r="AC4" i="28"/>
  <c r="AD4" i="28" s="1"/>
  <c r="BF4" i="28" s="1"/>
  <c r="AY4" i="28"/>
  <c r="AA4" i="28"/>
  <c r="AB4" i="28" s="1"/>
  <c r="BA4" i="28" s="1"/>
  <c r="FK127" i="28"/>
  <c r="BR18" i="35"/>
  <c r="FJ127" i="28"/>
  <c r="FK128" i="28"/>
  <c r="AK4" i="20"/>
  <c r="AL4" i="20" s="1"/>
  <c r="FX12" i="20"/>
  <c r="FI12" i="20"/>
  <c r="IU12" i="20"/>
  <c r="IF12" i="20"/>
  <c r="GM12" i="20"/>
  <c r="HQ12" i="20"/>
  <c r="HB12" i="20"/>
  <c r="AP17" i="20"/>
  <c r="CN16" i="20"/>
  <c r="CP13" i="28"/>
  <c r="DY13" i="28"/>
  <c r="EQ13" i="28" s="1"/>
  <c r="DZ14" i="28"/>
  <c r="ER14" i="28" s="1"/>
  <c r="CO14" i="28"/>
  <c r="EQ13" i="20"/>
  <c r="HB11" i="28"/>
  <c r="HQ11" i="28"/>
  <c r="IU11" i="28"/>
  <c r="FX11" i="28"/>
  <c r="FI11" i="28"/>
  <c r="GM11" i="28"/>
  <c r="IF11" i="28"/>
  <c r="AI4" i="20"/>
  <c r="GN12" i="20"/>
  <c r="IG12" i="20"/>
  <c r="HR12" i="20"/>
  <c r="IV12" i="20"/>
  <c r="FY12" i="20"/>
  <c r="HC12" i="20"/>
  <c r="FJ12" i="20"/>
  <c r="EP11" i="20"/>
  <c r="DX13" i="20"/>
  <c r="EP13" i="20" s="1"/>
  <c r="CQ13" i="20"/>
  <c r="DW11" i="28"/>
  <c r="EO11" i="28" s="1"/>
  <c r="CR11" i="28"/>
  <c r="CR11" i="20"/>
  <c r="DW11" i="20"/>
  <c r="EO11" i="20" s="1"/>
  <c r="CR12" i="20"/>
  <c r="DW12" i="20"/>
  <c r="EO12" i="20" s="1"/>
  <c r="HR12" i="28"/>
  <c r="HC12" i="28"/>
  <c r="IV12" i="28"/>
  <c r="IG12" i="28"/>
  <c r="FY12" i="28"/>
  <c r="FJ12" i="28"/>
  <c r="GN12" i="28"/>
  <c r="AE4" i="20"/>
  <c r="BH4" i="20" s="1"/>
  <c r="BH12" i="20" s="1"/>
  <c r="CQ12" i="28"/>
  <c r="DX12" i="28"/>
  <c r="EP12" i="28" s="1"/>
  <c r="AY4" i="20"/>
  <c r="IW14" i="20"/>
  <c r="IH14" i="20"/>
  <c r="GO14" i="20"/>
  <c r="HS14" i="20"/>
  <c r="HD14" i="20"/>
  <c r="FZ14" i="20"/>
  <c r="FK14" i="20"/>
  <c r="AC4" i="20"/>
  <c r="AG4" i="20"/>
  <c r="AH4" i="20" s="1"/>
  <c r="CO15" i="20"/>
  <c r="DZ15" i="20"/>
  <c r="ER13" i="28"/>
  <c r="CP14" i="20"/>
  <c r="DY14" i="20"/>
  <c r="EQ14" i="20" s="1"/>
  <c r="CN15" i="28"/>
  <c r="AP16" i="28"/>
  <c r="BB4" i="20"/>
  <c r="BB12" i="20" s="1"/>
  <c r="BA4" i="20"/>
  <c r="AL5" i="28"/>
  <c r="BT4" i="28"/>
  <c r="AZ4" i="20"/>
  <c r="AZ12" i="20" s="1"/>
  <c r="AB5" i="20"/>
  <c r="BV4" i="28"/>
  <c r="BU4" i="28"/>
  <c r="FD127" i="35" l="1"/>
  <c r="BM12" i="35"/>
  <c r="BM13" i="35" s="1"/>
  <c r="BM14" i="35" s="1"/>
  <c r="BM15" i="35" s="1"/>
  <c r="BM16" i="35" s="1"/>
  <c r="BM17" i="35" s="1"/>
  <c r="BM18" i="35" s="1"/>
  <c r="BM19" i="35" s="1"/>
  <c r="BM20" i="35" s="1"/>
  <c r="BM21" i="35" s="1"/>
  <c r="BM22" i="35" s="1"/>
  <c r="BM23" i="35" s="1"/>
  <c r="BM24" i="35" s="1"/>
  <c r="BM25" i="35" s="1"/>
  <c r="BM26" i="35" s="1"/>
  <c r="BM27" i="35" s="1"/>
  <c r="BM28" i="35" s="1"/>
  <c r="BM29" i="35" s="1"/>
  <c r="BM30" i="35" s="1"/>
  <c r="BM31" i="35" s="1"/>
  <c r="BM32" i="35" s="1"/>
  <c r="BM33" i="35" s="1"/>
  <c r="BM34" i="35" s="1"/>
  <c r="BM35" i="35" s="1"/>
  <c r="BM36" i="35" s="1"/>
  <c r="BM37" i="35" s="1"/>
  <c r="BM38" i="35" s="1"/>
  <c r="BM39" i="35" s="1"/>
  <c r="BM40" i="35" s="1"/>
  <c r="BS12" i="35"/>
  <c r="BQ13" i="35"/>
  <c r="BF15" i="35"/>
  <c r="IP12" i="35"/>
  <c r="FD12" i="35"/>
  <c r="GW12" i="35"/>
  <c r="IA12" i="35"/>
  <c r="FS12" i="35"/>
  <c r="FD128" i="35" s="1"/>
  <c r="BX12" i="35"/>
  <c r="GH12" i="35"/>
  <c r="CB12" i="35"/>
  <c r="AY13" i="35"/>
  <c r="HL12" i="35"/>
  <c r="BD14" i="35"/>
  <c r="BD15" i="35" s="1"/>
  <c r="BD16" i="35" s="1"/>
  <c r="BD17" i="35" s="1"/>
  <c r="BD18" i="35" s="1"/>
  <c r="BD19" i="35" s="1"/>
  <c r="BD20" i="35" s="1"/>
  <c r="BA11" i="35"/>
  <c r="BC11" i="35" s="1"/>
  <c r="BP14" i="35"/>
  <c r="BP15" i="35" s="1"/>
  <c r="BP16" i="35" s="1"/>
  <c r="BP17" i="35" s="1"/>
  <c r="BP18" i="35" s="1"/>
  <c r="BP19" i="35" s="1"/>
  <c r="BP20" i="35" s="1"/>
  <c r="BV13" i="35"/>
  <c r="BT14" i="35"/>
  <c r="BT15" i="35" s="1"/>
  <c r="BT16" i="35" s="1"/>
  <c r="BT17" i="35" s="1"/>
  <c r="BT18" i="35" s="1"/>
  <c r="BT19" i="35" s="1"/>
  <c r="BT20" i="35" s="1"/>
  <c r="BE12" i="35"/>
  <c r="BU11" i="35"/>
  <c r="BW11" i="35" s="1"/>
  <c r="BJ13" i="35"/>
  <c r="BJ14" i="35" s="1"/>
  <c r="BJ15" i="35" s="1"/>
  <c r="BL14" i="35"/>
  <c r="BL15" i="35" s="1"/>
  <c r="BL16" i="35" s="1"/>
  <c r="BL17" i="35" s="1"/>
  <c r="BL18" i="35" s="1"/>
  <c r="BL19" i="35" s="1"/>
  <c r="BL20" i="35" s="1"/>
  <c r="BH14" i="35"/>
  <c r="BH15" i="35" s="1"/>
  <c r="BH16" i="35" s="1"/>
  <c r="BH17" i="35" s="1"/>
  <c r="BH18" i="35" s="1"/>
  <c r="BH19" i="35" s="1"/>
  <c r="BH20" i="35" s="1"/>
  <c r="BB13" i="35"/>
  <c r="BN13" i="35"/>
  <c r="BI11" i="35"/>
  <c r="BK11" i="35" s="1"/>
  <c r="FI128" i="20"/>
  <c r="FJ128" i="20"/>
  <c r="FI127" i="35"/>
  <c r="FK129" i="35"/>
  <c r="FK130" i="20"/>
  <c r="AF5" i="28"/>
  <c r="BI11" i="28" s="1"/>
  <c r="BF11" i="28"/>
  <c r="BF12" i="28" s="1"/>
  <c r="BF13" i="28" s="1"/>
  <c r="BV11" i="28"/>
  <c r="BV12" i="28" s="1"/>
  <c r="BV13" i="28" s="1"/>
  <c r="BQ4" i="28"/>
  <c r="BR4" i="28"/>
  <c r="BP4" i="28"/>
  <c r="FJ128" i="35"/>
  <c r="AJ5" i="28"/>
  <c r="BL4" i="28"/>
  <c r="IU12" i="35"/>
  <c r="GM12" i="35"/>
  <c r="HQ12" i="35"/>
  <c r="FX12" i="35"/>
  <c r="IF12" i="35"/>
  <c r="HB12" i="35"/>
  <c r="FI12" i="35"/>
  <c r="DX13" i="35"/>
  <c r="CQ13" i="35"/>
  <c r="DZ15" i="35"/>
  <c r="ER15" i="35" s="1"/>
  <c r="CO15" i="35"/>
  <c r="CN16" i="35"/>
  <c r="AP17" i="35"/>
  <c r="EO11" i="35"/>
  <c r="DY14" i="35"/>
  <c r="EQ14" i="35" s="1"/>
  <c r="CP14" i="35"/>
  <c r="DV11" i="35"/>
  <c r="EN11" i="35" s="1"/>
  <c r="CS11" i="35"/>
  <c r="ER14" i="35"/>
  <c r="CR12" i="35"/>
  <c r="DW12" i="35"/>
  <c r="HC13" i="35"/>
  <c r="HR13" i="35"/>
  <c r="IV13" i="35"/>
  <c r="IG13" i="35"/>
  <c r="FY13" i="35"/>
  <c r="GN13" i="35"/>
  <c r="FJ13" i="35"/>
  <c r="AJ5" i="20"/>
  <c r="AJ4" i="20"/>
  <c r="AH5" i="28"/>
  <c r="AY31" i="28"/>
  <c r="IP31" i="28" s="1"/>
  <c r="BJ4" i="28"/>
  <c r="BP4" i="20"/>
  <c r="BV4" i="20"/>
  <c r="BV12" i="20" s="1"/>
  <c r="AB5" i="28"/>
  <c r="BA11" i="28" s="1"/>
  <c r="AY11" i="28"/>
  <c r="AY44" i="28"/>
  <c r="BB4" i="28"/>
  <c r="AY37" i="28"/>
  <c r="IP37" i="28" s="1"/>
  <c r="AY32" i="28"/>
  <c r="IP32" i="28" s="1"/>
  <c r="BH4" i="28"/>
  <c r="AY34" i="28"/>
  <c r="IP34" i="28" s="1"/>
  <c r="AY39" i="28"/>
  <c r="IP39" i="28" s="1"/>
  <c r="AY33" i="28"/>
  <c r="IP33" i="28" s="1"/>
  <c r="AY30" i="28"/>
  <c r="IP30" i="28" s="1"/>
  <c r="AY38" i="28"/>
  <c r="IP38" i="28" s="1"/>
  <c r="AY28" i="28"/>
  <c r="IP28" i="28" s="1"/>
  <c r="AY40" i="28"/>
  <c r="Z9" i="28" s="1"/>
  <c r="AY35" i="28"/>
  <c r="IP35" i="28" s="1"/>
  <c r="AY29" i="28"/>
  <c r="IP29" i="28" s="1"/>
  <c r="AY36" i="28"/>
  <c r="IP36" i="28" s="1"/>
  <c r="AZ4" i="28"/>
  <c r="BE4" i="28"/>
  <c r="AD5" i="28"/>
  <c r="BD4" i="28"/>
  <c r="AY28" i="20"/>
  <c r="IP28" i="20" s="1"/>
  <c r="AZ17" i="35"/>
  <c r="FI127" i="28"/>
  <c r="AY37" i="20"/>
  <c r="IP37" i="20" s="1"/>
  <c r="AD5" i="20"/>
  <c r="BD4" i="20"/>
  <c r="AD4" i="20"/>
  <c r="BR19" i="35"/>
  <c r="FJ128" i="28"/>
  <c r="AY34" i="20"/>
  <c r="IP34" i="20" s="1"/>
  <c r="AY30" i="20"/>
  <c r="IP30" i="20" s="1"/>
  <c r="AY36" i="20"/>
  <c r="IP36" i="20" s="1"/>
  <c r="AH5" i="20"/>
  <c r="AY40" i="20"/>
  <c r="Z9" i="20" s="1"/>
  <c r="AY29" i="20"/>
  <c r="IP29" i="20" s="1"/>
  <c r="AY33" i="20"/>
  <c r="IP33" i="20" s="1"/>
  <c r="AY39" i="20"/>
  <c r="IP39" i="20" s="1"/>
  <c r="AY11" i="20"/>
  <c r="AY12" i="20" s="1"/>
  <c r="AY13" i="20" s="1"/>
  <c r="CB13" i="20" s="1"/>
  <c r="AY32" i="20"/>
  <c r="IP32" i="20" s="1"/>
  <c r="AY44" i="20"/>
  <c r="AY38" i="20"/>
  <c r="IP38" i="20" s="1"/>
  <c r="AY35" i="20"/>
  <c r="IP35" i="20" s="1"/>
  <c r="AY31" i="20"/>
  <c r="IP31" i="20" s="1"/>
  <c r="BL4" i="20"/>
  <c r="BU4" i="20"/>
  <c r="AL5" i="20"/>
  <c r="BT4" i="20"/>
  <c r="AF4" i="20"/>
  <c r="AF5" i="20"/>
  <c r="HP11" i="20"/>
  <c r="FW11" i="20"/>
  <c r="GL11" i="20"/>
  <c r="IT11" i="20"/>
  <c r="HA11" i="20"/>
  <c r="FH11" i="20"/>
  <c r="IE11" i="20"/>
  <c r="FY14" i="20"/>
  <c r="GN14" i="20"/>
  <c r="HC14" i="20"/>
  <c r="FJ14" i="20"/>
  <c r="IG14" i="20"/>
  <c r="IV14" i="20"/>
  <c r="HR14" i="20"/>
  <c r="BM4" i="20"/>
  <c r="FW12" i="20"/>
  <c r="GL12" i="20"/>
  <c r="FH12" i="20"/>
  <c r="IT12" i="20"/>
  <c r="HA12" i="20"/>
  <c r="IE12" i="20"/>
  <c r="HP12" i="20"/>
  <c r="DV11" i="28"/>
  <c r="EN11" i="28" s="1"/>
  <c r="CS11" i="28"/>
  <c r="CS12" i="20"/>
  <c r="DV12" i="20"/>
  <c r="FW11" i="28"/>
  <c r="HP11" i="28"/>
  <c r="FH11" i="28"/>
  <c r="GL11" i="28"/>
  <c r="IT11" i="28"/>
  <c r="IE11" i="28"/>
  <c r="HA11" i="28"/>
  <c r="IF11" i="20"/>
  <c r="HQ11" i="20"/>
  <c r="IU11" i="20"/>
  <c r="FX11" i="20"/>
  <c r="GM11" i="20"/>
  <c r="FI11" i="20"/>
  <c r="HB11" i="20"/>
  <c r="CQ14" i="20"/>
  <c r="DX14" i="20"/>
  <c r="EP14" i="20" s="1"/>
  <c r="CR12" i="28"/>
  <c r="DW12" i="28"/>
  <c r="EO12" i="28" s="1"/>
  <c r="IG13" i="20"/>
  <c r="FJ13" i="20"/>
  <c r="HC13" i="20"/>
  <c r="IV13" i="20"/>
  <c r="FY13" i="20"/>
  <c r="HR13" i="20"/>
  <c r="GN13" i="20"/>
  <c r="FJ13" i="28"/>
  <c r="HR13" i="28"/>
  <c r="FY13" i="28"/>
  <c r="IV13" i="28"/>
  <c r="IG13" i="28"/>
  <c r="GN13" i="28"/>
  <c r="HC13" i="28"/>
  <c r="DV11" i="20"/>
  <c r="EN11" i="20" s="1"/>
  <c r="CS11" i="20"/>
  <c r="CQ13" i="28"/>
  <c r="DX13" i="28"/>
  <c r="EP13" i="28" s="1"/>
  <c r="FX12" i="28"/>
  <c r="GM12" i="28"/>
  <c r="HB12" i="28"/>
  <c r="IU12" i="28"/>
  <c r="FI12" i="28"/>
  <c r="IF12" i="28"/>
  <c r="HQ12" i="28"/>
  <c r="BN4" i="20"/>
  <c r="BN12" i="20" s="1"/>
  <c r="HD13" i="28"/>
  <c r="HS13" i="28"/>
  <c r="GO13" i="28"/>
  <c r="FZ13" i="28"/>
  <c r="FK13" i="28"/>
  <c r="IW13" i="28"/>
  <c r="IH13" i="28"/>
  <c r="DZ16" i="20"/>
  <c r="ER16" i="20" s="1"/>
  <c r="CO16" i="20"/>
  <c r="HB13" i="20"/>
  <c r="FI13" i="20"/>
  <c r="IU13" i="20"/>
  <c r="IF13" i="20"/>
  <c r="HQ13" i="20"/>
  <c r="FX13" i="20"/>
  <c r="GM13" i="20"/>
  <c r="CN16" i="28"/>
  <c r="AP17" i="28"/>
  <c r="ER15" i="20"/>
  <c r="CR13" i="20"/>
  <c r="DW13" i="20"/>
  <c r="CP14" i="28"/>
  <c r="DY14" i="28"/>
  <c r="EQ14" i="28" s="1"/>
  <c r="AP18" i="20"/>
  <c r="CN17" i="20"/>
  <c r="CO15" i="28"/>
  <c r="DZ15" i="28"/>
  <c r="ER15" i="28" s="1"/>
  <c r="CP15" i="20"/>
  <c r="DY15" i="20"/>
  <c r="EQ15" i="20" s="1"/>
  <c r="GO14" i="28"/>
  <c r="HD14" i="28"/>
  <c r="HS14" i="28"/>
  <c r="FK14" i="28"/>
  <c r="FZ14" i="28"/>
  <c r="IW14" i="28"/>
  <c r="IH14" i="28"/>
  <c r="BT44" i="28"/>
  <c r="BH44" i="20"/>
  <c r="BH13" i="20"/>
  <c r="BU11" i="28"/>
  <c r="BA11" i="20"/>
  <c r="BC11" i="20" s="1"/>
  <c r="BB13" i="20"/>
  <c r="BB14" i="20" s="1"/>
  <c r="BB15" i="20" s="1"/>
  <c r="BB16" i="20" s="1"/>
  <c r="AZ13" i="20"/>
  <c r="AZ44" i="20"/>
  <c r="BN4" i="28"/>
  <c r="BM4" i="28"/>
  <c r="BA12" i="35" l="1"/>
  <c r="BO12" i="35"/>
  <c r="BU12" i="35"/>
  <c r="BW12" i="35" s="1"/>
  <c r="BT43" i="35"/>
  <c r="BP43" i="35"/>
  <c r="BS13" i="35"/>
  <c r="BQ14" i="35"/>
  <c r="BI12" i="35"/>
  <c r="BK12" i="35" s="1"/>
  <c r="BL21" i="35"/>
  <c r="BL22" i="35" s="1"/>
  <c r="BL23" i="35" s="1"/>
  <c r="BL24" i="35" s="1"/>
  <c r="BL25" i="35" s="1"/>
  <c r="BL26" i="35" s="1"/>
  <c r="BL27" i="35" s="1"/>
  <c r="BL28" i="35" s="1"/>
  <c r="BL29" i="35" s="1"/>
  <c r="BL30" i="35" s="1"/>
  <c r="BL31" i="35" s="1"/>
  <c r="BL32" i="35" s="1"/>
  <c r="BL33" i="35" s="1"/>
  <c r="BL34" i="35" s="1"/>
  <c r="BL35" i="35" s="1"/>
  <c r="BL36" i="35" s="1"/>
  <c r="BL37" i="35" s="1"/>
  <c r="BL38" i="35" s="1"/>
  <c r="BL39" i="35" s="1"/>
  <c r="BL40" i="35" s="1"/>
  <c r="AG9" i="35" s="1"/>
  <c r="AG6" i="35"/>
  <c r="AG8" i="35"/>
  <c r="BP21" i="35"/>
  <c r="BP22" i="35" s="1"/>
  <c r="BP23" i="35" s="1"/>
  <c r="BP24" i="35" s="1"/>
  <c r="BP25" i="35" s="1"/>
  <c r="BP26" i="35" s="1"/>
  <c r="BP27" i="35" s="1"/>
  <c r="BP28" i="35" s="1"/>
  <c r="BP29" i="35" s="1"/>
  <c r="BP30" i="35" s="1"/>
  <c r="BP31" i="35" s="1"/>
  <c r="BP32" i="35" s="1"/>
  <c r="BP33" i="35" s="1"/>
  <c r="BP34" i="35" s="1"/>
  <c r="BP35" i="35" s="1"/>
  <c r="BP36" i="35" s="1"/>
  <c r="BP37" i="35" s="1"/>
  <c r="BP38" i="35" s="1"/>
  <c r="BP39" i="35" s="1"/>
  <c r="BP40" i="35" s="1"/>
  <c r="AI9" i="35" s="1"/>
  <c r="AI6" i="35"/>
  <c r="AI8" i="35"/>
  <c r="BB14" i="35"/>
  <c r="BE13" i="35"/>
  <c r="BG12" i="35"/>
  <c r="BT21" i="35"/>
  <c r="BT22" i="35" s="1"/>
  <c r="BT23" i="35" s="1"/>
  <c r="BT24" i="35" s="1"/>
  <c r="BT25" i="35" s="1"/>
  <c r="BT26" i="35" s="1"/>
  <c r="BT27" i="35" s="1"/>
  <c r="BT28" i="35" s="1"/>
  <c r="BT29" i="35" s="1"/>
  <c r="BT30" i="35" s="1"/>
  <c r="BT31" i="35" s="1"/>
  <c r="BT32" i="35" s="1"/>
  <c r="BT33" i="35" s="1"/>
  <c r="BT34" i="35" s="1"/>
  <c r="BT35" i="35" s="1"/>
  <c r="BT36" i="35" s="1"/>
  <c r="BT37" i="35" s="1"/>
  <c r="BT38" i="35" s="1"/>
  <c r="BT39" i="35" s="1"/>
  <c r="BT40" i="35" s="1"/>
  <c r="AK9" i="35" s="1"/>
  <c r="AK6" i="35"/>
  <c r="AK8" i="35"/>
  <c r="BA13" i="35"/>
  <c r="BA14" i="35" s="1"/>
  <c r="BA15" i="35" s="1"/>
  <c r="BA16" i="35" s="1"/>
  <c r="BA17" i="35" s="1"/>
  <c r="BA18" i="35" s="1"/>
  <c r="BA19" i="35" s="1"/>
  <c r="BA20" i="35" s="1"/>
  <c r="BA21" i="35" s="1"/>
  <c r="BA22" i="35" s="1"/>
  <c r="BA23" i="35" s="1"/>
  <c r="BA24" i="35" s="1"/>
  <c r="BA25" i="35" s="1"/>
  <c r="BA26" i="35" s="1"/>
  <c r="BA27" i="35" s="1"/>
  <c r="BA28" i="35" s="1"/>
  <c r="BA29" i="35" s="1"/>
  <c r="BA30" i="35" s="1"/>
  <c r="BA31" i="35" s="1"/>
  <c r="BA32" i="35" s="1"/>
  <c r="BA33" i="35" s="1"/>
  <c r="BA34" i="35" s="1"/>
  <c r="BA35" i="35" s="1"/>
  <c r="BA36" i="35" s="1"/>
  <c r="BA37" i="35" s="1"/>
  <c r="BA38" i="35" s="1"/>
  <c r="BA39" i="35" s="1"/>
  <c r="BA40" i="35" s="1"/>
  <c r="BC12" i="35"/>
  <c r="GW13" i="35"/>
  <c r="GH13" i="35"/>
  <c r="AY14" i="35"/>
  <c r="FS13" i="35"/>
  <c r="BX13" i="35"/>
  <c r="IP13" i="35"/>
  <c r="CB13" i="35"/>
  <c r="IA13" i="35"/>
  <c r="HL13" i="35"/>
  <c r="FD13" i="35"/>
  <c r="BH43" i="35"/>
  <c r="HZ11" i="35"/>
  <c r="HK11" i="35"/>
  <c r="GV11" i="35"/>
  <c r="FC11" i="35"/>
  <c r="BY11" i="35"/>
  <c r="GG11" i="35"/>
  <c r="FR11" i="35"/>
  <c r="CF11" i="35"/>
  <c r="CG11" i="35"/>
  <c r="CC11" i="35"/>
  <c r="CH11" i="35"/>
  <c r="CD11" i="35"/>
  <c r="CE11" i="35"/>
  <c r="BF16" i="35"/>
  <c r="AE6" i="35"/>
  <c r="AE8" i="35"/>
  <c r="BH21" i="35"/>
  <c r="BU13" i="35"/>
  <c r="BU14" i="35" s="1"/>
  <c r="BU15" i="35" s="1"/>
  <c r="BU16" i="35" s="1"/>
  <c r="BD43" i="35"/>
  <c r="BL43" i="35"/>
  <c r="BV14" i="35"/>
  <c r="BN14" i="35"/>
  <c r="BO13" i="35"/>
  <c r="BD21" i="35"/>
  <c r="BD22" i="35" s="1"/>
  <c r="BD23" i="35" s="1"/>
  <c r="BD24" i="35" s="1"/>
  <c r="BD25" i="35" s="1"/>
  <c r="BD26" i="35" s="1"/>
  <c r="BD27" i="35" s="1"/>
  <c r="BD28" i="35" s="1"/>
  <c r="BD29" i="35" s="1"/>
  <c r="BD30" i="35" s="1"/>
  <c r="BD31" i="35" s="1"/>
  <c r="BD32" i="35" s="1"/>
  <c r="BD33" i="35" s="1"/>
  <c r="BD34" i="35" s="1"/>
  <c r="BD35" i="35" s="1"/>
  <c r="BD36" i="35" s="1"/>
  <c r="BD37" i="35" s="1"/>
  <c r="BD38" i="35" s="1"/>
  <c r="BD39" i="35" s="1"/>
  <c r="BD40" i="35" s="1"/>
  <c r="AC9" i="35" s="1"/>
  <c r="AC8" i="35"/>
  <c r="AC6" i="35"/>
  <c r="BJ16" i="35"/>
  <c r="BW11" i="28"/>
  <c r="FH128" i="20"/>
  <c r="FJ130" i="20"/>
  <c r="FI129" i="20"/>
  <c r="FI127" i="20"/>
  <c r="FJ129" i="20"/>
  <c r="FH127" i="20"/>
  <c r="BV13" i="20"/>
  <c r="BV14" i="20" s="1"/>
  <c r="BV15" i="20" s="1"/>
  <c r="BV16" i="20" s="1"/>
  <c r="FI128" i="35"/>
  <c r="BT12" i="20"/>
  <c r="BT13" i="20" s="1"/>
  <c r="BT14" i="20" s="1"/>
  <c r="BT15" i="20" s="1"/>
  <c r="BT16" i="20" s="1"/>
  <c r="BT17" i="20" s="1"/>
  <c r="BT18" i="20" s="1"/>
  <c r="BT19" i="20" s="1"/>
  <c r="BT20" i="20" s="1"/>
  <c r="BL44" i="20"/>
  <c r="BL12" i="20"/>
  <c r="BL13" i="20" s="1"/>
  <c r="BP12" i="20"/>
  <c r="BP13" i="20" s="1"/>
  <c r="BP14" i="20" s="1"/>
  <c r="BP15" i="20" s="1"/>
  <c r="BP16" i="20" s="1"/>
  <c r="BP17" i="20" s="1"/>
  <c r="BP18" i="20" s="1"/>
  <c r="BP19" i="20" s="1"/>
  <c r="BP20" i="20" s="1"/>
  <c r="BD12" i="20"/>
  <c r="GW12" i="20" s="1"/>
  <c r="BN11" i="28"/>
  <c r="BN12" i="28" s="1"/>
  <c r="BN13" i="28" s="1"/>
  <c r="BJ11" i="28"/>
  <c r="BK11" i="28" s="1"/>
  <c r="BB11" i="28"/>
  <c r="BB12" i="28" s="1"/>
  <c r="BB13" i="28" s="1"/>
  <c r="BB14" i="28" s="1"/>
  <c r="AY12" i="28"/>
  <c r="AY13" i="28" s="1"/>
  <c r="AY14" i="28" s="1"/>
  <c r="AY15" i="28" s="1"/>
  <c r="IP15" i="28" s="1"/>
  <c r="BH11" i="28"/>
  <c r="BH12" i="28" s="1"/>
  <c r="BH13" i="28" s="1"/>
  <c r="AZ11" i="28"/>
  <c r="AZ12" i="28" s="1"/>
  <c r="BP11" i="28"/>
  <c r="BP12" i="28" s="1"/>
  <c r="BP13" i="28" s="1"/>
  <c r="BP14" i="28" s="1"/>
  <c r="BP15" i="28" s="1"/>
  <c r="BP16" i="28" s="1"/>
  <c r="BP17" i="28" s="1"/>
  <c r="BP18" i="28" s="1"/>
  <c r="BP19" i="28" s="1"/>
  <c r="BP20" i="28" s="1"/>
  <c r="BD11" i="28"/>
  <c r="BD12" i="28" s="1"/>
  <c r="BD13" i="28" s="1"/>
  <c r="BD14" i="28" s="1"/>
  <c r="BD15" i="28" s="1"/>
  <c r="BL11" i="28"/>
  <c r="BL12" i="28" s="1"/>
  <c r="BL13" i="28" s="1"/>
  <c r="BL14" i="28" s="1"/>
  <c r="BL15" i="28" s="1"/>
  <c r="BL16" i="28" s="1"/>
  <c r="BL17" i="28" s="1"/>
  <c r="BL18" i="28" s="1"/>
  <c r="BL19" i="28" s="1"/>
  <c r="BL20" i="28" s="1"/>
  <c r="BT11" i="28"/>
  <c r="BT12" i="28" s="1"/>
  <c r="BT13" i="28" s="1"/>
  <c r="BT14" i="28" s="1"/>
  <c r="BT15" i="28" s="1"/>
  <c r="BT16" i="28" s="1"/>
  <c r="BT17" i="28" s="1"/>
  <c r="BT18" i="28" s="1"/>
  <c r="BT19" i="28" s="1"/>
  <c r="BT20" i="28" s="1"/>
  <c r="AK6" i="28" s="1"/>
  <c r="BR11" i="28"/>
  <c r="BR12" i="28" s="1"/>
  <c r="BR13" i="28" s="1"/>
  <c r="BR14" i="28" s="1"/>
  <c r="BQ11" i="28"/>
  <c r="BQ12" i="28" s="1"/>
  <c r="BH44" i="28"/>
  <c r="BP44" i="28"/>
  <c r="BR4" i="20"/>
  <c r="BQ4" i="20"/>
  <c r="BQ11" i="20" s="1"/>
  <c r="BS11" i="20" s="1"/>
  <c r="BL44" i="28"/>
  <c r="FJ129" i="35"/>
  <c r="BP44" i="20"/>
  <c r="IV14" i="35"/>
  <c r="HR14" i="35"/>
  <c r="GN14" i="35"/>
  <c r="HC14" i="35"/>
  <c r="FJ14" i="35"/>
  <c r="IG14" i="35"/>
  <c r="FY14" i="35"/>
  <c r="GK11" i="35"/>
  <c r="ID11" i="35"/>
  <c r="GZ11" i="35"/>
  <c r="FV11" i="35"/>
  <c r="FG11" i="35"/>
  <c r="HO11" i="35"/>
  <c r="IS11" i="35"/>
  <c r="HS14" i="35"/>
  <c r="FK14" i="35"/>
  <c r="FZ14" i="35"/>
  <c r="IH14" i="35"/>
  <c r="HD14" i="35"/>
  <c r="IW14" i="35"/>
  <c r="GO14" i="35"/>
  <c r="AP18" i="35"/>
  <c r="CN17" i="35"/>
  <c r="EP13" i="35"/>
  <c r="DU11" i="35"/>
  <c r="EM11" i="35" s="1"/>
  <c r="CT11" i="35"/>
  <c r="DZ16" i="35"/>
  <c r="ER16" i="35" s="1"/>
  <c r="CO16" i="35"/>
  <c r="DX14" i="35"/>
  <c r="CQ14" i="35"/>
  <c r="DY15" i="35"/>
  <c r="EQ15" i="35" s="1"/>
  <c r="CP15" i="35"/>
  <c r="HS15" i="35"/>
  <c r="FK15" i="35"/>
  <c r="IW15" i="35"/>
  <c r="GO15" i="35"/>
  <c r="IH15" i="35"/>
  <c r="HD15" i="35"/>
  <c r="FZ15" i="35"/>
  <c r="EO12" i="35"/>
  <c r="DV12" i="35"/>
  <c r="EN12" i="35" s="1"/>
  <c r="CS12" i="35"/>
  <c r="HP11" i="35"/>
  <c r="FH11" i="35"/>
  <c r="GL11" i="35"/>
  <c r="FW11" i="35"/>
  <c r="IE11" i="35"/>
  <c r="HA11" i="35"/>
  <c r="IT11" i="35"/>
  <c r="DW13" i="35"/>
  <c r="CR13" i="35"/>
  <c r="BE4" i="20"/>
  <c r="BE11" i="20" s="1"/>
  <c r="BG11" i="20" s="1"/>
  <c r="CD11" i="20" s="1"/>
  <c r="IP11" i="28"/>
  <c r="AZ44" i="28"/>
  <c r="CB11" i="28"/>
  <c r="BE11" i="28"/>
  <c r="BG11" i="28" s="1"/>
  <c r="BF4" i="20"/>
  <c r="BD44" i="20"/>
  <c r="IP40" i="28"/>
  <c r="IP40" i="20"/>
  <c r="BD44" i="28"/>
  <c r="FJ129" i="28"/>
  <c r="AZ18" i="35"/>
  <c r="FI128" i="28"/>
  <c r="BR20" i="35"/>
  <c r="FK129" i="28"/>
  <c r="GH11" i="20"/>
  <c r="IP12" i="20"/>
  <c r="HL11" i="20"/>
  <c r="IP11" i="20"/>
  <c r="AY14" i="20"/>
  <c r="CB14" i="20" s="1"/>
  <c r="IA11" i="20"/>
  <c r="IP13" i="20"/>
  <c r="BX11" i="20"/>
  <c r="CC11" i="20"/>
  <c r="FS11" i="20"/>
  <c r="CB11" i="20"/>
  <c r="IA12" i="20"/>
  <c r="GW11" i="20"/>
  <c r="CB12" i="20"/>
  <c r="FD11" i="20"/>
  <c r="FH127" i="28"/>
  <c r="BU11" i="20"/>
  <c r="BW11" i="20" s="1"/>
  <c r="BM11" i="20"/>
  <c r="BO11" i="20" s="1"/>
  <c r="BT44" i="20"/>
  <c r="FK130" i="28"/>
  <c r="BI4" i="20"/>
  <c r="BJ4" i="20"/>
  <c r="BN13" i="20"/>
  <c r="BN14" i="20" s="1"/>
  <c r="FK15" i="20"/>
  <c r="IW15" i="20"/>
  <c r="HD15" i="20"/>
  <c r="IH15" i="20"/>
  <c r="HS15" i="20"/>
  <c r="FZ15" i="20"/>
  <c r="GO15" i="20"/>
  <c r="FX14" i="20"/>
  <c r="GM14" i="20"/>
  <c r="HB14" i="20"/>
  <c r="FI14" i="20"/>
  <c r="IU14" i="20"/>
  <c r="HQ14" i="20"/>
  <c r="IF14" i="20"/>
  <c r="AP19" i="20"/>
  <c r="CN18" i="20"/>
  <c r="DW13" i="28"/>
  <c r="EO13" i="28" s="1"/>
  <c r="CR13" i="28"/>
  <c r="GL12" i="28"/>
  <c r="FW12" i="28"/>
  <c r="IT12" i="28"/>
  <c r="FH12" i="28"/>
  <c r="HA12" i="28"/>
  <c r="HP12" i="28"/>
  <c r="IE12" i="28"/>
  <c r="FY14" i="28"/>
  <c r="IV14" i="28"/>
  <c r="FJ14" i="28"/>
  <c r="HR14" i="28"/>
  <c r="GN14" i="28"/>
  <c r="HC14" i="28"/>
  <c r="IG14" i="28"/>
  <c r="IG15" i="20"/>
  <c r="HR15" i="20"/>
  <c r="GN15" i="20"/>
  <c r="FY15" i="20"/>
  <c r="IV15" i="20"/>
  <c r="FJ15" i="20"/>
  <c r="HC15" i="20"/>
  <c r="CS12" i="28"/>
  <c r="DV12" i="28"/>
  <c r="EN12" i="28" s="1"/>
  <c r="CN17" i="28"/>
  <c r="AP18" i="28"/>
  <c r="CR14" i="20"/>
  <c r="DW14" i="20"/>
  <c r="EN12" i="20"/>
  <c r="CQ15" i="20"/>
  <c r="DX15" i="20"/>
  <c r="EP15" i="20" s="1"/>
  <c r="DZ16" i="28"/>
  <c r="ER16" i="28" s="1"/>
  <c r="CO16" i="28"/>
  <c r="CP16" i="20"/>
  <c r="DY16" i="20"/>
  <c r="EQ16" i="20" s="1"/>
  <c r="DU12" i="20"/>
  <c r="EM12" i="20" s="1"/>
  <c r="CT12" i="20"/>
  <c r="HS15" i="28"/>
  <c r="IH15" i="28"/>
  <c r="FK15" i="28"/>
  <c r="GO15" i="28"/>
  <c r="IW15" i="28"/>
  <c r="FZ15" i="28"/>
  <c r="HD15" i="28"/>
  <c r="EO13" i="20"/>
  <c r="FZ16" i="20"/>
  <c r="FK16" i="20"/>
  <c r="IW16" i="20"/>
  <c r="HD16" i="20"/>
  <c r="IH16" i="20"/>
  <c r="GO16" i="20"/>
  <c r="HS16" i="20"/>
  <c r="CT11" i="28"/>
  <c r="DU11" i="28"/>
  <c r="DX14" i="28"/>
  <c r="EP14" i="28" s="1"/>
  <c r="CQ14" i="28"/>
  <c r="DY15" i="28"/>
  <c r="EQ15" i="28" s="1"/>
  <c r="CP15" i="28"/>
  <c r="CS13" i="20"/>
  <c r="DV13" i="20"/>
  <c r="EN13" i="20" s="1"/>
  <c r="CT11" i="20"/>
  <c r="DU11" i="20"/>
  <c r="EM11" i="20" s="1"/>
  <c r="ID11" i="28"/>
  <c r="FG11" i="28"/>
  <c r="IS11" i="28"/>
  <c r="GK11" i="28"/>
  <c r="GZ11" i="28"/>
  <c r="HO11" i="28"/>
  <c r="FV11" i="28"/>
  <c r="CO17" i="20"/>
  <c r="DZ17" i="20"/>
  <c r="ER17" i="20" s="1"/>
  <c r="IU13" i="28"/>
  <c r="FX13" i="28"/>
  <c r="HQ13" i="28"/>
  <c r="FI13" i="28"/>
  <c r="IF13" i="28"/>
  <c r="GM13" i="28"/>
  <c r="HB13" i="28"/>
  <c r="GZ11" i="20"/>
  <c r="FV11" i="20"/>
  <c r="GK11" i="20"/>
  <c r="FG11" i="20"/>
  <c r="ID11" i="20"/>
  <c r="HO11" i="20"/>
  <c r="IS11" i="20"/>
  <c r="BU12" i="28"/>
  <c r="BW12" i="28" s="1"/>
  <c r="BA12" i="28"/>
  <c r="BI12" i="28"/>
  <c r="BB17" i="20"/>
  <c r="BV14" i="28"/>
  <c r="BM11" i="28"/>
  <c r="AZ14" i="20"/>
  <c r="AZ15" i="20" s="1"/>
  <c r="AZ16" i="20" s="1"/>
  <c r="AZ17" i="20" s="1"/>
  <c r="AZ18" i="20" s="1"/>
  <c r="AZ19" i="20" s="1"/>
  <c r="AZ20" i="20" s="1"/>
  <c r="HZ11" i="20"/>
  <c r="BA12" i="20"/>
  <c r="BH14" i="20"/>
  <c r="BH15" i="20" s="1"/>
  <c r="BH16" i="20" s="1"/>
  <c r="BH17" i="20" s="1"/>
  <c r="BH18" i="20" s="1"/>
  <c r="BH19" i="20" s="1"/>
  <c r="BH20" i="20" s="1"/>
  <c r="BF14" i="28"/>
  <c r="IA13" i="20"/>
  <c r="FD129" i="35" l="1"/>
  <c r="BI13" i="35"/>
  <c r="BI14" i="35" s="1"/>
  <c r="BI15" i="35" s="1"/>
  <c r="BI16" i="35" s="1"/>
  <c r="BI17" i="35" s="1"/>
  <c r="BI18" i="35" s="1"/>
  <c r="BI19" i="35" s="1"/>
  <c r="BI20" i="35" s="1"/>
  <c r="BI21" i="35" s="1"/>
  <c r="BI22" i="35" s="1"/>
  <c r="BI23" i="35" s="1"/>
  <c r="BI24" i="35" s="1"/>
  <c r="BI25" i="35" s="1"/>
  <c r="BI26" i="35" s="1"/>
  <c r="BI27" i="35" s="1"/>
  <c r="BI28" i="35" s="1"/>
  <c r="BI29" i="35" s="1"/>
  <c r="BI30" i="35" s="1"/>
  <c r="BI31" i="35" s="1"/>
  <c r="BI32" i="35" s="1"/>
  <c r="BI33" i="35" s="1"/>
  <c r="BI34" i="35" s="1"/>
  <c r="BI35" i="35" s="1"/>
  <c r="BI36" i="35" s="1"/>
  <c r="BI37" i="35" s="1"/>
  <c r="BI38" i="35" s="1"/>
  <c r="BI39" i="35" s="1"/>
  <c r="BI40" i="35" s="1"/>
  <c r="BL42" i="35"/>
  <c r="BP42" i="35"/>
  <c r="FC127" i="35"/>
  <c r="GV12" i="35"/>
  <c r="BW13" i="35"/>
  <c r="BS14" i="35"/>
  <c r="BQ15" i="35"/>
  <c r="IA14" i="35"/>
  <c r="GH14" i="35"/>
  <c r="IP14" i="35"/>
  <c r="FD14" i="35"/>
  <c r="HL14" i="35"/>
  <c r="CB14" i="35"/>
  <c r="AY15" i="35"/>
  <c r="GW14" i="35"/>
  <c r="BX14" i="35"/>
  <c r="FS14" i="35"/>
  <c r="BK14" i="35"/>
  <c r="BO14" i="35"/>
  <c r="BN15" i="35"/>
  <c r="BH22" i="35"/>
  <c r="BH23" i="35" s="1"/>
  <c r="BH24" i="35" s="1"/>
  <c r="BH25" i="35" s="1"/>
  <c r="BH26" i="35" s="1"/>
  <c r="BH27" i="35" s="1"/>
  <c r="BH28" i="35" s="1"/>
  <c r="BH29" i="35" s="1"/>
  <c r="BH30" i="35" s="1"/>
  <c r="BH31" i="35" s="1"/>
  <c r="BH32" i="35" s="1"/>
  <c r="BH33" i="35" s="1"/>
  <c r="BH34" i="35" s="1"/>
  <c r="BH35" i="35" s="1"/>
  <c r="BH36" i="35" s="1"/>
  <c r="BH37" i="35" s="1"/>
  <c r="BH38" i="35" s="1"/>
  <c r="BH39" i="35" s="1"/>
  <c r="BH40" i="35" s="1"/>
  <c r="AE9" i="35" s="1"/>
  <c r="BK15" i="35"/>
  <c r="BJ17" i="35"/>
  <c r="BK16" i="35"/>
  <c r="BE14" i="35"/>
  <c r="BG13" i="35"/>
  <c r="BC13" i="35"/>
  <c r="BD42" i="35"/>
  <c r="HZ12" i="35"/>
  <c r="HK12" i="35"/>
  <c r="BY12" i="35"/>
  <c r="CG12" i="35"/>
  <c r="GG12" i="35"/>
  <c r="FC12" i="35"/>
  <c r="CH12" i="35"/>
  <c r="CF12" i="35"/>
  <c r="FR12" i="35"/>
  <c r="CE12" i="35"/>
  <c r="CD12" i="35"/>
  <c r="CC12" i="35"/>
  <c r="BT42" i="35"/>
  <c r="BF17" i="35"/>
  <c r="BK13" i="35"/>
  <c r="BV15" i="35"/>
  <c r="BW14" i="35"/>
  <c r="BC14" i="35"/>
  <c r="BB15" i="35"/>
  <c r="FI130" i="20"/>
  <c r="FK130" i="35"/>
  <c r="CB12" i="28"/>
  <c r="FK132" i="20"/>
  <c r="FJ131" i="20"/>
  <c r="FG127" i="20"/>
  <c r="FD127" i="20"/>
  <c r="FK131" i="20"/>
  <c r="FS12" i="20"/>
  <c r="AY16" i="28"/>
  <c r="CB16" i="28" s="1"/>
  <c r="FD12" i="20"/>
  <c r="HL12" i="20"/>
  <c r="IP13" i="28"/>
  <c r="BT21" i="28"/>
  <c r="BT22" i="28" s="1"/>
  <c r="BT23" i="28" s="1"/>
  <c r="BT24" i="28" s="1"/>
  <c r="BT25" i="28" s="1"/>
  <c r="BT26" i="28" s="1"/>
  <c r="BT27" i="28" s="1"/>
  <c r="BT28" i="28" s="1"/>
  <c r="BT29" i="28" s="1"/>
  <c r="BT30" i="28" s="1"/>
  <c r="BT31" i="28" s="1"/>
  <c r="BT32" i="28" s="1"/>
  <c r="BT33" i="28" s="1"/>
  <c r="BT34" i="28" s="1"/>
  <c r="BT35" i="28" s="1"/>
  <c r="BT36" i="28" s="1"/>
  <c r="BT37" i="28" s="1"/>
  <c r="BT38" i="28" s="1"/>
  <c r="BT39" i="28" s="1"/>
  <c r="BT40" i="28" s="1"/>
  <c r="AK9" i="28" s="1"/>
  <c r="BT43" i="28"/>
  <c r="IP14" i="28"/>
  <c r="IP12" i="28"/>
  <c r="FK131" i="35"/>
  <c r="FJ130" i="35"/>
  <c r="BS11" i="28"/>
  <c r="CB13" i="28"/>
  <c r="CB14" i="28"/>
  <c r="BJ12" i="20"/>
  <c r="BJ13" i="20" s="1"/>
  <c r="BJ14" i="20" s="1"/>
  <c r="BJ15" i="20" s="1"/>
  <c r="BJ16" i="20" s="1"/>
  <c r="BR12" i="20"/>
  <c r="BR13" i="20" s="1"/>
  <c r="BR14" i="20" s="1"/>
  <c r="BR15" i="20" s="1"/>
  <c r="BR16" i="20" s="1"/>
  <c r="BR17" i="20" s="1"/>
  <c r="BR18" i="20" s="1"/>
  <c r="BD13" i="20"/>
  <c r="FD13" i="20" s="1"/>
  <c r="GH12" i="20"/>
  <c r="BF12" i="20"/>
  <c r="BF13" i="20" s="1"/>
  <c r="BF14" i="20" s="1"/>
  <c r="IA11" i="28"/>
  <c r="BX12" i="20"/>
  <c r="AY15" i="20"/>
  <c r="CB15" i="20" s="1"/>
  <c r="FS11" i="28"/>
  <c r="GH11" i="28"/>
  <c r="HL11" i="28"/>
  <c r="BX11" i="28"/>
  <c r="FD11" i="28"/>
  <c r="BC11" i="28"/>
  <c r="CE11" i="28" s="1"/>
  <c r="BC12" i="28"/>
  <c r="CC12" i="28" s="1"/>
  <c r="CB15" i="28"/>
  <c r="GW11" i="28"/>
  <c r="IA12" i="28"/>
  <c r="GW12" i="28"/>
  <c r="GH12" i="28"/>
  <c r="FD12" i="28"/>
  <c r="AZ13" i="28"/>
  <c r="IA13" i="28" s="1"/>
  <c r="FS12" i="28"/>
  <c r="BX12" i="28"/>
  <c r="HL12" i="28"/>
  <c r="BJ12" i="28"/>
  <c r="BJ13" i="28" s="1"/>
  <c r="BJ14" i="28" s="1"/>
  <c r="BJ15" i="28" s="1"/>
  <c r="BJ16" i="28" s="1"/>
  <c r="BU17" i="35"/>
  <c r="FH127" i="35"/>
  <c r="FG127" i="35"/>
  <c r="BH14" i="28"/>
  <c r="BH15" i="28" s="1"/>
  <c r="BH16" i="28" s="1"/>
  <c r="BH17" i="28" s="1"/>
  <c r="BH18" i="28" s="1"/>
  <c r="BH19" i="28" s="1"/>
  <c r="BH20" i="28" s="1"/>
  <c r="AE6" i="28" s="1"/>
  <c r="DW14" i="35"/>
  <c r="EO14" i="35" s="1"/>
  <c r="CR14" i="35"/>
  <c r="DV13" i="35"/>
  <c r="EN13" i="35" s="1"/>
  <c r="CS13" i="35"/>
  <c r="EP14" i="35"/>
  <c r="CO17" i="35"/>
  <c r="DZ17" i="35"/>
  <c r="ER17" i="35" s="1"/>
  <c r="CP16" i="35"/>
  <c r="DY16" i="35"/>
  <c r="EQ16" i="35" s="1"/>
  <c r="CN18" i="35"/>
  <c r="AP19" i="35"/>
  <c r="DU12" i="35"/>
  <c r="EM12" i="35" s="1"/>
  <c r="CT12" i="35"/>
  <c r="IH16" i="35"/>
  <c r="HS16" i="35"/>
  <c r="IW16" i="35"/>
  <c r="FZ16" i="35"/>
  <c r="HD16" i="35"/>
  <c r="FK16" i="35"/>
  <c r="GO16" i="35"/>
  <c r="DT11" i="35"/>
  <c r="CU11" i="35"/>
  <c r="HO12" i="35"/>
  <c r="GK12" i="35"/>
  <c r="GZ12" i="35"/>
  <c r="FG12" i="35"/>
  <c r="ID12" i="35"/>
  <c r="FV12" i="35"/>
  <c r="IS12" i="35"/>
  <c r="GJ11" i="35"/>
  <c r="IC11" i="35"/>
  <c r="FF11" i="35"/>
  <c r="FU11" i="35"/>
  <c r="HN11" i="35"/>
  <c r="GY11" i="35"/>
  <c r="IR11" i="35"/>
  <c r="FH12" i="35"/>
  <c r="GL12" i="35"/>
  <c r="FW12" i="35"/>
  <c r="HP12" i="35"/>
  <c r="IT12" i="35"/>
  <c r="HA12" i="35"/>
  <c r="IE12" i="35"/>
  <c r="DX15" i="35"/>
  <c r="EP15" i="35" s="1"/>
  <c r="CQ15" i="35"/>
  <c r="EO13" i="35"/>
  <c r="GN15" i="35"/>
  <c r="FY15" i="35"/>
  <c r="IG15" i="35"/>
  <c r="HR15" i="35"/>
  <c r="IV15" i="35"/>
  <c r="HC15" i="35"/>
  <c r="FJ15" i="35"/>
  <c r="GM13" i="35"/>
  <c r="HB13" i="35"/>
  <c r="IF13" i="35"/>
  <c r="FI13" i="35"/>
  <c r="HQ13" i="35"/>
  <c r="IU13" i="35"/>
  <c r="FX13" i="35"/>
  <c r="BL14" i="20"/>
  <c r="BL15" i="20" s="1"/>
  <c r="BL16" i="20" s="1"/>
  <c r="BL17" i="20" s="1"/>
  <c r="BL18" i="20" s="1"/>
  <c r="BL19" i="20" s="1"/>
  <c r="BL20" i="20" s="1"/>
  <c r="BL21" i="20" s="1"/>
  <c r="BD16" i="28"/>
  <c r="BD17" i="28" s="1"/>
  <c r="BD18" i="28" s="1"/>
  <c r="BD19" i="28" s="1"/>
  <c r="BD20" i="28" s="1"/>
  <c r="AC6" i="28" s="1"/>
  <c r="BI11" i="20"/>
  <c r="BK11" i="20" s="1"/>
  <c r="FC11" i="20" s="1"/>
  <c r="BE12" i="28"/>
  <c r="BG12" i="28" s="1"/>
  <c r="AZ19" i="35"/>
  <c r="IP14" i="20"/>
  <c r="BU12" i="20"/>
  <c r="BU13" i="20" s="1"/>
  <c r="FI129" i="28"/>
  <c r="BR21" i="35"/>
  <c r="FH128" i="28"/>
  <c r="FG127" i="28"/>
  <c r="BM12" i="20"/>
  <c r="BO12" i="20" s="1"/>
  <c r="FK131" i="28"/>
  <c r="FJ130" i="28"/>
  <c r="HN12" i="20"/>
  <c r="IR12" i="20"/>
  <c r="GY12" i="20"/>
  <c r="GJ12" i="20"/>
  <c r="IC12" i="20"/>
  <c r="FU12" i="20"/>
  <c r="FF12" i="20"/>
  <c r="CP17" i="20"/>
  <c r="DY17" i="20"/>
  <c r="DT12" i="20"/>
  <c r="EL12" i="20" s="1"/>
  <c r="CU12" i="20"/>
  <c r="GY11" i="20"/>
  <c r="IR11" i="20"/>
  <c r="IC11" i="20"/>
  <c r="FF11" i="20"/>
  <c r="GJ11" i="20"/>
  <c r="HN11" i="20"/>
  <c r="FU11" i="20"/>
  <c r="IT13" i="20"/>
  <c r="HP13" i="20"/>
  <c r="GL13" i="20"/>
  <c r="FW13" i="20"/>
  <c r="IE13" i="20"/>
  <c r="FH13" i="20"/>
  <c r="HA13" i="20"/>
  <c r="FJ16" i="20"/>
  <c r="HR16" i="20"/>
  <c r="GN16" i="20"/>
  <c r="FY16" i="20"/>
  <c r="IV16" i="20"/>
  <c r="IG16" i="20"/>
  <c r="HC16" i="20"/>
  <c r="DT11" i="20"/>
  <c r="EL11" i="20" s="1"/>
  <c r="CU11" i="20"/>
  <c r="DX16" i="20"/>
  <c r="EP16" i="20" s="1"/>
  <c r="CQ16" i="20"/>
  <c r="CN18" i="28"/>
  <c r="AP19" i="28"/>
  <c r="DW14" i="28"/>
  <c r="EO14" i="28" s="1"/>
  <c r="CR14" i="28"/>
  <c r="DY16" i="28"/>
  <c r="EQ16" i="28" s="1"/>
  <c r="CP16" i="28"/>
  <c r="DZ17" i="28"/>
  <c r="CO17" i="28"/>
  <c r="ID13" i="20"/>
  <c r="FV13" i="20"/>
  <c r="GK13" i="20"/>
  <c r="GZ13" i="20"/>
  <c r="HO13" i="20"/>
  <c r="IS13" i="20"/>
  <c r="FG13" i="20"/>
  <c r="HB14" i="28"/>
  <c r="FI14" i="28"/>
  <c r="GM14" i="28"/>
  <c r="HQ14" i="28"/>
  <c r="IU14" i="28"/>
  <c r="IF14" i="28"/>
  <c r="FX14" i="28"/>
  <c r="GO16" i="28"/>
  <c r="IH16" i="28"/>
  <c r="IW16" i="28"/>
  <c r="FK16" i="28"/>
  <c r="HS16" i="28"/>
  <c r="FZ16" i="28"/>
  <c r="HD16" i="28"/>
  <c r="IF15" i="20"/>
  <c r="HQ15" i="20"/>
  <c r="GM15" i="20"/>
  <c r="FX15" i="20"/>
  <c r="FI15" i="20"/>
  <c r="IU15" i="20"/>
  <c r="HB15" i="20"/>
  <c r="FG12" i="20"/>
  <c r="GZ12" i="20"/>
  <c r="GK12" i="20"/>
  <c r="IS12" i="20"/>
  <c r="ID12" i="20"/>
  <c r="HO12" i="20"/>
  <c r="FV12" i="20"/>
  <c r="HR15" i="28"/>
  <c r="IG15" i="28"/>
  <c r="FJ15" i="28"/>
  <c r="GN15" i="28"/>
  <c r="FY15" i="28"/>
  <c r="IV15" i="28"/>
  <c r="HC15" i="28"/>
  <c r="CT13" i="20"/>
  <c r="DU13" i="20"/>
  <c r="EM13" i="20" s="1"/>
  <c r="EM11" i="28"/>
  <c r="DW15" i="20"/>
  <c r="EO15" i="20" s="1"/>
  <c r="CR15" i="20"/>
  <c r="EO14" i="20"/>
  <c r="CS13" i="28"/>
  <c r="DV13" i="28"/>
  <c r="EN13" i="28" s="1"/>
  <c r="DT11" i="28"/>
  <c r="EL11" i="28" s="1"/>
  <c r="CU11" i="28"/>
  <c r="CS14" i="20"/>
  <c r="DV14" i="20"/>
  <c r="EN14" i="20" s="1"/>
  <c r="ID12" i="28"/>
  <c r="FV12" i="28"/>
  <c r="GK12" i="28"/>
  <c r="HO12" i="28"/>
  <c r="IS12" i="28"/>
  <c r="FG12" i="28"/>
  <c r="GZ12" i="28"/>
  <c r="HP13" i="28"/>
  <c r="HA13" i="28"/>
  <c r="IE13" i="28"/>
  <c r="IT13" i="28"/>
  <c r="FW13" i="28"/>
  <c r="GL13" i="28"/>
  <c r="FH13" i="28"/>
  <c r="CO18" i="20"/>
  <c r="DZ18" i="20"/>
  <c r="ER18" i="20" s="1"/>
  <c r="FZ17" i="20"/>
  <c r="IW17" i="20"/>
  <c r="IH17" i="20"/>
  <c r="HD17" i="20"/>
  <c r="HS17" i="20"/>
  <c r="FK17" i="20"/>
  <c r="GO17" i="20"/>
  <c r="CQ15" i="28"/>
  <c r="DX15" i="28"/>
  <c r="EP15" i="28" s="1"/>
  <c r="CT12" i="28"/>
  <c r="DU12" i="28"/>
  <c r="EM12" i="28" s="1"/>
  <c r="AP20" i="20"/>
  <c r="AP21" i="20" s="1"/>
  <c r="CN19" i="20"/>
  <c r="BU13" i="28"/>
  <c r="BU14" i="28" s="1"/>
  <c r="BU15" i="28" s="1"/>
  <c r="BU16" i="28" s="1"/>
  <c r="BU17" i="28" s="1"/>
  <c r="BU18" i="28" s="1"/>
  <c r="BU19" i="28" s="1"/>
  <c r="BU20" i="28" s="1"/>
  <c r="BU21" i="28" s="1"/>
  <c r="BU22" i="28" s="1"/>
  <c r="BU23" i="28" s="1"/>
  <c r="BU24" i="28" s="1"/>
  <c r="BU25" i="28" s="1"/>
  <c r="BU26" i="28" s="1"/>
  <c r="BU27" i="28" s="1"/>
  <c r="BU28" i="28" s="1"/>
  <c r="BU29" i="28" s="1"/>
  <c r="BU30" i="28" s="1"/>
  <c r="BQ12" i="20"/>
  <c r="BA13" i="28"/>
  <c r="IA14" i="20"/>
  <c r="BT43" i="20"/>
  <c r="HK11" i="20"/>
  <c r="BE12" i="20"/>
  <c r="BC12" i="20"/>
  <c r="BA13" i="20"/>
  <c r="BF15" i="28"/>
  <c r="BH43" i="20"/>
  <c r="AZ43" i="20"/>
  <c r="AE8" i="20"/>
  <c r="AE6" i="20"/>
  <c r="BH21" i="20"/>
  <c r="BH22" i="20" s="1"/>
  <c r="BH23" i="20" s="1"/>
  <c r="BH24" i="20" s="1"/>
  <c r="BH25" i="20" s="1"/>
  <c r="BH26" i="20" s="1"/>
  <c r="BH27" i="20" s="1"/>
  <c r="BH28" i="20" s="1"/>
  <c r="BH29" i="20" s="1"/>
  <c r="BH30" i="20" s="1"/>
  <c r="BH31" i="20" s="1"/>
  <c r="BH32" i="20" s="1"/>
  <c r="BH33" i="20" s="1"/>
  <c r="BH34" i="20" s="1"/>
  <c r="BH35" i="20" s="1"/>
  <c r="BH36" i="20" s="1"/>
  <c r="BH37" i="20" s="1"/>
  <c r="BH38" i="20" s="1"/>
  <c r="BH39" i="20" s="1"/>
  <c r="BH40" i="20" s="1"/>
  <c r="AE9" i="20" s="1"/>
  <c r="AZ21" i="20"/>
  <c r="AZ22" i="20" s="1"/>
  <c r="AZ23" i="20" s="1"/>
  <c r="AZ24" i="20" s="1"/>
  <c r="AZ25" i="20" s="1"/>
  <c r="AZ26" i="20" s="1"/>
  <c r="AZ27" i="20" s="1"/>
  <c r="AZ28" i="20" s="1"/>
  <c r="AA8" i="20"/>
  <c r="AA6" i="20"/>
  <c r="AI6" i="28"/>
  <c r="BP21" i="28"/>
  <c r="BP22" i="28" s="1"/>
  <c r="BP23" i="28" s="1"/>
  <c r="BP24" i="28" s="1"/>
  <c r="BP25" i="28" s="1"/>
  <c r="BP26" i="28" s="1"/>
  <c r="BP27" i="28" s="1"/>
  <c r="BP28" i="28" s="1"/>
  <c r="BP29" i="28" s="1"/>
  <c r="BP30" i="28" s="1"/>
  <c r="BP31" i="28" s="1"/>
  <c r="BP32" i="28" s="1"/>
  <c r="BP33" i="28" s="1"/>
  <c r="BP34" i="28" s="1"/>
  <c r="BP35" i="28" s="1"/>
  <c r="BP36" i="28" s="1"/>
  <c r="BP37" i="28" s="1"/>
  <c r="BP38" i="28" s="1"/>
  <c r="BP39" i="28" s="1"/>
  <c r="BP40" i="28" s="1"/>
  <c r="AI9" i="28" s="1"/>
  <c r="BB18" i="20"/>
  <c r="AI6" i="20"/>
  <c r="AI8" i="20"/>
  <c r="BP21" i="20"/>
  <c r="BM12" i="28"/>
  <c r="BO11" i="28"/>
  <c r="AG6" i="28"/>
  <c r="BL21" i="28"/>
  <c r="BL22" i="28" s="1"/>
  <c r="BL23" i="28" s="1"/>
  <c r="BL24" i="28" s="1"/>
  <c r="BL25" i="28" s="1"/>
  <c r="BL26" i="28" s="1"/>
  <c r="BL27" i="28" s="1"/>
  <c r="BL28" i="28" s="1"/>
  <c r="BL29" i="28" s="1"/>
  <c r="AK8" i="20"/>
  <c r="AK6" i="20"/>
  <c r="BT21" i="20"/>
  <c r="BT22" i="20" s="1"/>
  <c r="BT23" i="20" s="1"/>
  <c r="BT24" i="20" s="1"/>
  <c r="BT25" i="20" s="1"/>
  <c r="BT26" i="20" s="1"/>
  <c r="BT27" i="20" s="1"/>
  <c r="BT28" i="20" s="1"/>
  <c r="BT29" i="20" s="1"/>
  <c r="BT30" i="20" s="1"/>
  <c r="BT31" i="20" s="1"/>
  <c r="BT32" i="20" s="1"/>
  <c r="BT33" i="20" s="1"/>
  <c r="BT34" i="20" s="1"/>
  <c r="BT35" i="20" s="1"/>
  <c r="BT36" i="20" s="1"/>
  <c r="BT37" i="20" s="1"/>
  <c r="BT38" i="20" s="1"/>
  <c r="BT39" i="20" s="1"/>
  <c r="BT40" i="20" s="1"/>
  <c r="AK9" i="20" s="1"/>
  <c r="BV15" i="28"/>
  <c r="BV17" i="20"/>
  <c r="BL43" i="28"/>
  <c r="BI13" i="28"/>
  <c r="BN15" i="20"/>
  <c r="BB15" i="28"/>
  <c r="BR15" i="28"/>
  <c r="BN14" i="28"/>
  <c r="BP43" i="28"/>
  <c r="BP43" i="20"/>
  <c r="BS12" i="28"/>
  <c r="BQ13" i="28"/>
  <c r="FC128" i="35" l="1"/>
  <c r="FD130" i="35"/>
  <c r="AY17" i="28"/>
  <c r="AY18" i="28" s="1"/>
  <c r="IP18" i="28" s="1"/>
  <c r="BQ16" i="35"/>
  <c r="BS15" i="35"/>
  <c r="BE15" i="35"/>
  <c r="BG14" i="35"/>
  <c r="CD14" i="35" s="1"/>
  <c r="CC14" i="35"/>
  <c r="BC15" i="35"/>
  <c r="CC15" i="35" s="1"/>
  <c r="BB16" i="35"/>
  <c r="HZ14" i="35"/>
  <c r="BK17" i="35"/>
  <c r="BJ18" i="35"/>
  <c r="BV16" i="35"/>
  <c r="BW15" i="35"/>
  <c r="BH42" i="35"/>
  <c r="CE13" i="35"/>
  <c r="BF18" i="35"/>
  <c r="HK13" i="35"/>
  <c r="HZ13" i="35"/>
  <c r="GV13" i="35"/>
  <c r="GG13" i="35"/>
  <c r="BY13" i="35"/>
  <c r="CH13" i="35"/>
  <c r="FR13" i="35"/>
  <c r="FC13" i="35"/>
  <c r="CC13" i="35"/>
  <c r="CG13" i="35"/>
  <c r="CF13" i="35"/>
  <c r="CD13" i="35"/>
  <c r="BO15" i="35"/>
  <c r="BN16" i="35"/>
  <c r="GH15" i="35"/>
  <c r="IA15" i="35"/>
  <c r="GW15" i="35"/>
  <c r="CB15" i="35"/>
  <c r="FS15" i="35"/>
  <c r="FD15" i="35"/>
  <c r="IP15" i="35"/>
  <c r="AY16" i="35"/>
  <c r="HL15" i="35"/>
  <c r="BX15" i="35"/>
  <c r="FD128" i="20"/>
  <c r="FG128" i="20"/>
  <c r="AY16" i="20"/>
  <c r="IP16" i="20" s="1"/>
  <c r="BL43" i="20"/>
  <c r="FI131" i="20"/>
  <c r="FF127" i="20"/>
  <c r="FJ132" i="20"/>
  <c r="FK133" i="20"/>
  <c r="FH129" i="20"/>
  <c r="FF128" i="20"/>
  <c r="FG129" i="20"/>
  <c r="BS12" i="20"/>
  <c r="IP15" i="20"/>
  <c r="IA15" i="20"/>
  <c r="IP16" i="28"/>
  <c r="FF127" i="35"/>
  <c r="FD127" i="28"/>
  <c r="BT42" i="28"/>
  <c r="AG8" i="20"/>
  <c r="AG6" i="20"/>
  <c r="HK11" i="28"/>
  <c r="GV11" i="28"/>
  <c r="FK132" i="35"/>
  <c r="FH128" i="35"/>
  <c r="FI129" i="35"/>
  <c r="GH13" i="20"/>
  <c r="BX13" i="20"/>
  <c r="FD128" i="28"/>
  <c r="HL13" i="20"/>
  <c r="BD14" i="20"/>
  <c r="GW13" i="20"/>
  <c r="BG12" i="20"/>
  <c r="CD12" i="20" s="1"/>
  <c r="FS13" i="20"/>
  <c r="BK12" i="28"/>
  <c r="CE12" i="28" s="1"/>
  <c r="HZ12" i="28"/>
  <c r="GH13" i="28"/>
  <c r="FC11" i="28"/>
  <c r="BX13" i="28"/>
  <c r="AZ14" i="28"/>
  <c r="GH14" i="28" s="1"/>
  <c r="HL13" i="28"/>
  <c r="HK12" i="28"/>
  <c r="FS13" i="28"/>
  <c r="CC11" i="28"/>
  <c r="HZ11" i="28"/>
  <c r="CD11" i="28"/>
  <c r="GW13" i="28"/>
  <c r="FD13" i="28"/>
  <c r="BH43" i="28"/>
  <c r="BH21" i="28"/>
  <c r="BH22" i="28" s="1"/>
  <c r="BH23" i="28" s="1"/>
  <c r="BH24" i="28" s="1"/>
  <c r="BH25" i="28" s="1"/>
  <c r="BH26" i="28" s="1"/>
  <c r="BH27" i="28" s="1"/>
  <c r="BH28" i="28" s="1"/>
  <c r="BH29" i="28" s="1"/>
  <c r="BH30" i="28" s="1"/>
  <c r="BH31" i="28" s="1"/>
  <c r="BH32" i="28" s="1"/>
  <c r="BH33" i="28" s="1"/>
  <c r="BH34" i="28" s="1"/>
  <c r="BH35" i="28" s="1"/>
  <c r="BH36" i="28" s="1"/>
  <c r="BH37" i="28" s="1"/>
  <c r="BH38" i="28" s="1"/>
  <c r="BH39" i="28" s="1"/>
  <c r="BH40" i="28" s="1"/>
  <c r="AE9" i="28" s="1"/>
  <c r="GG11" i="20"/>
  <c r="BU18" i="35"/>
  <c r="FG128" i="35"/>
  <c r="CH11" i="20"/>
  <c r="FJ131" i="35"/>
  <c r="CE11" i="20"/>
  <c r="BY11" i="20"/>
  <c r="FR11" i="20"/>
  <c r="CF11" i="20"/>
  <c r="GV11" i="20"/>
  <c r="CG11" i="20"/>
  <c r="BI12" i="20"/>
  <c r="BK12" i="20" s="1"/>
  <c r="BW12" i="20"/>
  <c r="ID13" i="35"/>
  <c r="HO13" i="35"/>
  <c r="FV13" i="35"/>
  <c r="GZ13" i="35"/>
  <c r="GK13" i="35"/>
  <c r="FG13" i="35"/>
  <c r="IS13" i="35"/>
  <c r="HA13" i="35"/>
  <c r="FW13" i="35"/>
  <c r="FH13" i="35"/>
  <c r="IE13" i="35"/>
  <c r="GL13" i="35"/>
  <c r="HP13" i="35"/>
  <c r="IT13" i="35"/>
  <c r="CV11" i="35"/>
  <c r="DS11" i="35"/>
  <c r="EK11" i="35" s="1"/>
  <c r="IW17" i="35"/>
  <c r="GO17" i="35"/>
  <c r="IH17" i="35"/>
  <c r="FK17" i="35"/>
  <c r="FZ17" i="35"/>
  <c r="HS17" i="35"/>
  <c r="HD17" i="35"/>
  <c r="CR15" i="35"/>
  <c r="DW15" i="35"/>
  <c r="EO15" i="35" s="1"/>
  <c r="EL11" i="35"/>
  <c r="DT12" i="35"/>
  <c r="CU12" i="35"/>
  <c r="DY17" i="35"/>
  <c r="EQ17" i="35" s="1"/>
  <c r="CP17" i="35"/>
  <c r="HQ15" i="35"/>
  <c r="FI15" i="35"/>
  <c r="HB15" i="35"/>
  <c r="FX15" i="35"/>
  <c r="GM15" i="35"/>
  <c r="IF15" i="35"/>
  <c r="IU15" i="35"/>
  <c r="GJ12" i="35"/>
  <c r="FF12" i="35"/>
  <c r="IC12" i="35"/>
  <c r="HN12" i="35"/>
  <c r="IR12" i="35"/>
  <c r="GY12" i="35"/>
  <c r="FU12" i="35"/>
  <c r="GL14" i="35"/>
  <c r="HP14" i="35"/>
  <c r="IT14" i="35"/>
  <c r="HA14" i="35"/>
  <c r="FH14" i="35"/>
  <c r="IE14" i="35"/>
  <c r="FW14" i="35"/>
  <c r="CN19" i="35"/>
  <c r="AP20" i="35"/>
  <c r="AP43" i="35" s="1"/>
  <c r="HQ14" i="35"/>
  <c r="IU14" i="35"/>
  <c r="GM14" i="35"/>
  <c r="HB14" i="35"/>
  <c r="IF14" i="35"/>
  <c r="FI14" i="35"/>
  <c r="FX14" i="35"/>
  <c r="CO18" i="35"/>
  <c r="DZ18" i="35"/>
  <c r="ER18" i="35" s="1"/>
  <c r="DU13" i="35"/>
  <c r="EM13" i="35" s="1"/>
  <c r="CT13" i="35"/>
  <c r="HC16" i="35"/>
  <c r="GN16" i="35"/>
  <c r="IG16" i="35"/>
  <c r="HR16" i="35"/>
  <c r="IV16" i="35"/>
  <c r="FY16" i="35"/>
  <c r="FJ16" i="35"/>
  <c r="DX16" i="35"/>
  <c r="EP16" i="35" s="1"/>
  <c r="CQ16" i="35"/>
  <c r="DV14" i="35"/>
  <c r="EN14" i="35" s="1"/>
  <c r="CS14" i="35"/>
  <c r="BD21" i="28"/>
  <c r="BD22" i="28" s="1"/>
  <c r="BD23" i="28" s="1"/>
  <c r="BD24" i="28" s="1"/>
  <c r="BD25" i="28" s="1"/>
  <c r="BD26" i="28" s="1"/>
  <c r="BD27" i="28" s="1"/>
  <c r="BD28" i="28" s="1"/>
  <c r="BD29" i="28" s="1"/>
  <c r="BD30" i="28" s="1"/>
  <c r="BD31" i="28" s="1"/>
  <c r="BD32" i="28" s="1"/>
  <c r="BD33" i="28" s="1"/>
  <c r="BD34" i="28" s="1"/>
  <c r="BD35" i="28" s="1"/>
  <c r="BD36" i="28" s="1"/>
  <c r="BD37" i="28" s="1"/>
  <c r="BD38" i="28" s="1"/>
  <c r="BD39" i="28" s="1"/>
  <c r="BD40" i="28" s="1"/>
  <c r="AC9" i="28" s="1"/>
  <c r="CD12" i="28"/>
  <c r="BE13" i="28"/>
  <c r="BE14" i="28" s="1"/>
  <c r="BE15" i="28" s="1"/>
  <c r="BE16" i="28" s="1"/>
  <c r="BE17" i="28" s="1"/>
  <c r="BE18" i="28" s="1"/>
  <c r="BE19" i="28" s="1"/>
  <c r="BE20" i="28" s="1"/>
  <c r="BE21" i="28" s="1"/>
  <c r="BE22" i="28" s="1"/>
  <c r="BE23" i="28" s="1"/>
  <c r="BE24" i="28" s="1"/>
  <c r="BE25" i="28" s="1"/>
  <c r="BE26" i="28" s="1"/>
  <c r="BE27" i="28" s="1"/>
  <c r="BE28" i="28" s="1"/>
  <c r="BE29" i="28" s="1"/>
  <c r="BE30" i="28" s="1"/>
  <c r="BE31" i="28" s="1"/>
  <c r="BE32" i="28" s="1"/>
  <c r="BD43" i="28"/>
  <c r="BM13" i="20"/>
  <c r="AZ20" i="35"/>
  <c r="BR22" i="35"/>
  <c r="FI130" i="28"/>
  <c r="FH129" i="28"/>
  <c r="FK132" i="28"/>
  <c r="FJ131" i="28"/>
  <c r="FG128" i="28"/>
  <c r="AP22" i="20"/>
  <c r="CN21" i="20"/>
  <c r="BQ13" i="20"/>
  <c r="BQ14" i="20" s="1"/>
  <c r="BQ15" i="20" s="1"/>
  <c r="BQ16" i="20" s="1"/>
  <c r="BQ17" i="20" s="1"/>
  <c r="BQ18" i="20" s="1"/>
  <c r="BQ19" i="20" s="1"/>
  <c r="BQ20" i="20" s="1"/>
  <c r="BQ21" i="20" s="1"/>
  <c r="BQ22" i="20" s="1"/>
  <c r="BQ23" i="20" s="1"/>
  <c r="BQ24" i="20" s="1"/>
  <c r="BQ25" i="20" s="1"/>
  <c r="BQ26" i="20" s="1"/>
  <c r="BQ27" i="20" s="1"/>
  <c r="BQ28" i="20" s="1"/>
  <c r="BQ29" i="20" s="1"/>
  <c r="BQ30" i="20" s="1"/>
  <c r="BQ31" i="20" s="1"/>
  <c r="BQ32" i="20" s="1"/>
  <c r="BQ33" i="20" s="1"/>
  <c r="BQ34" i="20" s="1"/>
  <c r="BQ35" i="20" s="1"/>
  <c r="BQ36" i="20" s="1"/>
  <c r="BQ37" i="20" s="1"/>
  <c r="BQ38" i="20" s="1"/>
  <c r="BQ39" i="20" s="1"/>
  <c r="BQ40" i="20" s="1"/>
  <c r="IS14" i="20"/>
  <c r="GZ14" i="20"/>
  <c r="ID14" i="20"/>
  <c r="FG14" i="20"/>
  <c r="FV14" i="20"/>
  <c r="GK14" i="20"/>
  <c r="HO14" i="20"/>
  <c r="GI11" i="28"/>
  <c r="FT11" i="28"/>
  <c r="IB11" i="28"/>
  <c r="GX11" i="28"/>
  <c r="FE11" i="28"/>
  <c r="HM11" i="28"/>
  <c r="IQ11" i="28"/>
  <c r="HM11" i="20"/>
  <c r="HI11" i="20" s="1"/>
  <c r="JN11" i="20" s="1"/>
  <c r="JO11" i="20" s="1"/>
  <c r="IB11" i="20"/>
  <c r="HX11" i="20" s="1"/>
  <c r="JP11" i="20" s="1"/>
  <c r="JQ11" i="20" s="1"/>
  <c r="FT11" i="20"/>
  <c r="FE11" i="20"/>
  <c r="FA11" i="20" s="1"/>
  <c r="JF11" i="20" s="1"/>
  <c r="JG11" i="20" s="1"/>
  <c r="GI11" i="20"/>
  <c r="IQ11" i="20"/>
  <c r="IM11" i="20" s="1"/>
  <c r="GX11" i="20"/>
  <c r="HN11" i="28"/>
  <c r="GY11" i="28"/>
  <c r="IR11" i="28"/>
  <c r="FU11" i="28"/>
  <c r="FF11" i="28"/>
  <c r="IC11" i="28"/>
  <c r="GJ11" i="28"/>
  <c r="DY17" i="28"/>
  <c r="EQ17" i="28" s="1"/>
  <c r="CP17" i="28"/>
  <c r="CN19" i="28"/>
  <c r="AP20" i="28"/>
  <c r="FX15" i="28"/>
  <c r="FI15" i="28"/>
  <c r="IU15" i="28"/>
  <c r="GM15" i="28"/>
  <c r="HQ15" i="28"/>
  <c r="IF15" i="28"/>
  <c r="HB15" i="28"/>
  <c r="ID13" i="28"/>
  <c r="GK13" i="28"/>
  <c r="IS13" i="28"/>
  <c r="HO13" i="28"/>
  <c r="FG13" i="28"/>
  <c r="FV13" i="28"/>
  <c r="GZ13" i="28"/>
  <c r="IC13" i="20"/>
  <c r="FF13" i="20"/>
  <c r="GJ13" i="20"/>
  <c r="IR13" i="20"/>
  <c r="HN13" i="20"/>
  <c r="FU13" i="20"/>
  <c r="GY13" i="20"/>
  <c r="ER17" i="28"/>
  <c r="DZ18" i="28"/>
  <c r="ER18" i="28" s="1"/>
  <c r="CO18" i="28"/>
  <c r="DS11" i="28"/>
  <c r="EK11" i="28" s="1"/>
  <c r="CV11" i="28"/>
  <c r="DX17" i="20"/>
  <c r="EP17" i="20" s="1"/>
  <c r="CQ17" i="20"/>
  <c r="DZ19" i="20"/>
  <c r="ER19" i="20" s="1"/>
  <c r="CO19" i="20"/>
  <c r="CR15" i="28"/>
  <c r="DW15" i="28"/>
  <c r="EO15" i="28" s="1"/>
  <c r="DU13" i="28"/>
  <c r="EM13" i="28" s="1"/>
  <c r="CT13" i="28"/>
  <c r="DT13" i="20"/>
  <c r="EL13" i="20" s="1"/>
  <c r="CU13" i="20"/>
  <c r="DX16" i="28"/>
  <c r="EP16" i="28" s="1"/>
  <c r="CQ16" i="28"/>
  <c r="O6" i="20"/>
  <c r="O8" i="20"/>
  <c r="CN20" i="20"/>
  <c r="AP43" i="20"/>
  <c r="FJ16" i="28"/>
  <c r="HR16" i="28"/>
  <c r="IG16" i="28"/>
  <c r="IV16" i="28"/>
  <c r="HC16" i="28"/>
  <c r="FY16" i="28"/>
  <c r="GN16" i="28"/>
  <c r="BW14" i="28"/>
  <c r="FF12" i="28"/>
  <c r="FU12" i="28"/>
  <c r="GJ12" i="28"/>
  <c r="IR12" i="28"/>
  <c r="GY12" i="28"/>
  <c r="IC12" i="28"/>
  <c r="HN12" i="28"/>
  <c r="HS18" i="20"/>
  <c r="HD18" i="20"/>
  <c r="FK18" i="20"/>
  <c r="GO18" i="20"/>
  <c r="FZ18" i="20"/>
  <c r="IH18" i="20"/>
  <c r="IW18" i="20"/>
  <c r="CT14" i="20"/>
  <c r="DU14" i="20"/>
  <c r="HP14" i="20"/>
  <c r="FH14" i="20"/>
  <c r="FW14" i="20"/>
  <c r="HA14" i="20"/>
  <c r="IT14" i="20"/>
  <c r="IE14" i="20"/>
  <c r="GL14" i="20"/>
  <c r="DV14" i="28"/>
  <c r="EN14" i="28" s="1"/>
  <c r="CS14" i="28"/>
  <c r="CR16" i="20"/>
  <c r="DW16" i="20"/>
  <c r="CV12" i="20"/>
  <c r="CX12" i="20" s="1"/>
  <c r="CZ12" i="20" s="1"/>
  <c r="DS12" i="20"/>
  <c r="EK12" i="20" s="1"/>
  <c r="DT12" i="28"/>
  <c r="EL12" i="28" s="1"/>
  <c r="CU12" i="28"/>
  <c r="DY18" i="20"/>
  <c r="EQ18" i="20" s="1"/>
  <c r="CP18" i="20"/>
  <c r="CS15" i="20"/>
  <c r="DV15" i="20"/>
  <c r="EN15" i="20" s="1"/>
  <c r="IT14" i="28"/>
  <c r="FH14" i="28"/>
  <c r="HP14" i="28"/>
  <c r="GL14" i="28"/>
  <c r="FW14" i="28"/>
  <c r="HA14" i="28"/>
  <c r="IE14" i="28"/>
  <c r="FX16" i="20"/>
  <c r="GM16" i="20"/>
  <c r="IF16" i="20"/>
  <c r="FI16" i="20"/>
  <c r="HQ16" i="20"/>
  <c r="IU16" i="20"/>
  <c r="HB16" i="20"/>
  <c r="IB12" i="20"/>
  <c r="FT12" i="20"/>
  <c r="FE12" i="20"/>
  <c r="GI12" i="20"/>
  <c r="HM12" i="20"/>
  <c r="IQ12" i="20"/>
  <c r="IM12" i="20" s="1"/>
  <c r="GX12" i="20"/>
  <c r="FW15" i="20"/>
  <c r="IE15" i="20"/>
  <c r="IT15" i="20"/>
  <c r="HP15" i="20"/>
  <c r="HA15" i="20"/>
  <c r="FH15" i="20"/>
  <c r="GL15" i="20"/>
  <c r="CV11" i="20"/>
  <c r="DS11" i="20"/>
  <c r="EK11" i="20" s="1"/>
  <c r="EQ17" i="20"/>
  <c r="BU31" i="28"/>
  <c r="BW13" i="28"/>
  <c r="BE13" i="20"/>
  <c r="BE14" i="20" s="1"/>
  <c r="BE15" i="20" s="1"/>
  <c r="BE16" i="20" s="1"/>
  <c r="BE17" i="20" s="1"/>
  <c r="BE18" i="20" s="1"/>
  <c r="BE19" i="20" s="1"/>
  <c r="BE20" i="20" s="1"/>
  <c r="BE21" i="20" s="1"/>
  <c r="BE22" i="20" s="1"/>
  <c r="BE23" i="20" s="1"/>
  <c r="BE24" i="20" s="1"/>
  <c r="BE25" i="20" s="1"/>
  <c r="BE26" i="20" s="1"/>
  <c r="BE27" i="20" s="1"/>
  <c r="BE28" i="20" s="1"/>
  <c r="BE29" i="20" s="1"/>
  <c r="BE30" i="20" s="1"/>
  <c r="BE31" i="20" s="1"/>
  <c r="BE32" i="20" s="1"/>
  <c r="BE33" i="20" s="1"/>
  <c r="BE34" i="20" s="1"/>
  <c r="BE35" i="20" s="1"/>
  <c r="BE36" i="20" s="1"/>
  <c r="BE37" i="20" s="1"/>
  <c r="BE38" i="20" s="1"/>
  <c r="BE39" i="20" s="1"/>
  <c r="BE40" i="20" s="1"/>
  <c r="BA14" i="28"/>
  <c r="BC13" i="28"/>
  <c r="BP42" i="28"/>
  <c r="BH42" i="20"/>
  <c r="BU14" i="20"/>
  <c r="BW13" i="20"/>
  <c r="CB16" i="20"/>
  <c r="IA16" i="20"/>
  <c r="AY17" i="20"/>
  <c r="BN16" i="20"/>
  <c r="BR16" i="28"/>
  <c r="BT42" i="20"/>
  <c r="BP22" i="20"/>
  <c r="BP23" i="20" s="1"/>
  <c r="BP24" i="20" s="1"/>
  <c r="BP25" i="20" s="1"/>
  <c r="BP26" i="20" s="1"/>
  <c r="BP27" i="20" s="1"/>
  <c r="BP28" i="20" s="1"/>
  <c r="BP29" i="20" s="1"/>
  <c r="BP30" i="20" s="1"/>
  <c r="BP31" i="20" s="1"/>
  <c r="BP32" i="20" s="1"/>
  <c r="BP33" i="20" s="1"/>
  <c r="BP34" i="20" s="1"/>
  <c r="BP35" i="20" s="1"/>
  <c r="BP36" i="20" s="1"/>
  <c r="BP37" i="20" s="1"/>
  <c r="BP38" i="20" s="1"/>
  <c r="BP39" i="20" s="1"/>
  <c r="BP40" i="20" s="1"/>
  <c r="AI9" i="20" s="1"/>
  <c r="BF16" i="28"/>
  <c r="BA14" i="20"/>
  <c r="BC13" i="20"/>
  <c r="BJ17" i="20"/>
  <c r="BV18" i="20"/>
  <c r="BF15" i="20"/>
  <c r="AZ29" i="20"/>
  <c r="IA28" i="20"/>
  <c r="HZ12" i="20"/>
  <c r="CC12" i="20"/>
  <c r="BN15" i="28"/>
  <c r="CF11" i="28"/>
  <c r="CG11" i="28"/>
  <c r="CH11" i="28"/>
  <c r="GG11" i="28"/>
  <c r="FR11" i="28"/>
  <c r="BY11" i="28"/>
  <c r="BR19" i="20"/>
  <c r="BQ14" i="28"/>
  <c r="BS13" i="28"/>
  <c r="BB16" i="28"/>
  <c r="BL22" i="20"/>
  <c r="BL23" i="20" s="1"/>
  <c r="BL24" i="20" s="1"/>
  <c r="BL25" i="20" s="1"/>
  <c r="BL26" i="20" s="1"/>
  <c r="BL27" i="20" s="1"/>
  <c r="BL28" i="20" s="1"/>
  <c r="BL29" i="20" s="1"/>
  <c r="BL30" i="20" s="1"/>
  <c r="BL31" i="20" s="1"/>
  <c r="BL32" i="20" s="1"/>
  <c r="BL33" i="20" s="1"/>
  <c r="BL34" i="20" s="1"/>
  <c r="BL35" i="20" s="1"/>
  <c r="BL36" i="20" s="1"/>
  <c r="BL37" i="20" s="1"/>
  <c r="BL38" i="20" s="1"/>
  <c r="BL39" i="20" s="1"/>
  <c r="BL40" i="20" s="1"/>
  <c r="AG9" i="20" s="1"/>
  <c r="BL30" i="28"/>
  <c r="BO12" i="28"/>
  <c r="BM13" i="28"/>
  <c r="BB19" i="20"/>
  <c r="BI14" i="28"/>
  <c r="BK13" i="28"/>
  <c r="BJ17" i="28"/>
  <c r="BW15" i="28"/>
  <c r="BV16" i="28"/>
  <c r="CB18" i="28"/>
  <c r="AY19" i="28"/>
  <c r="CB17" i="28" l="1"/>
  <c r="IP17" i="28"/>
  <c r="FD131" i="35"/>
  <c r="CG14" i="35"/>
  <c r="BY14" i="35"/>
  <c r="FR14" i="35"/>
  <c r="FC129" i="35"/>
  <c r="CH14" i="35"/>
  <c r="GV14" i="35"/>
  <c r="FC14" i="35"/>
  <c r="CF14" i="35"/>
  <c r="GG14" i="35"/>
  <c r="BQ17" i="35"/>
  <c r="BS16" i="35"/>
  <c r="BF19" i="35"/>
  <c r="BO16" i="35"/>
  <c r="BN17" i="35"/>
  <c r="BC16" i="35"/>
  <c r="CC16" i="35" s="1"/>
  <c r="BB17" i="35"/>
  <c r="HZ15" i="35"/>
  <c r="BV17" i="35"/>
  <c r="BW16" i="35"/>
  <c r="HK14" i="35"/>
  <c r="BE16" i="35"/>
  <c r="BG15" i="35"/>
  <c r="GV15" i="35" s="1"/>
  <c r="IA16" i="35"/>
  <c r="HL16" i="35"/>
  <c r="FS16" i="35"/>
  <c r="BX16" i="35"/>
  <c r="IP16" i="35"/>
  <c r="GH16" i="35"/>
  <c r="GW16" i="35"/>
  <c r="CB16" i="35"/>
  <c r="FD16" i="35"/>
  <c r="AY17" i="35"/>
  <c r="BK18" i="35"/>
  <c r="BJ19" i="35"/>
  <c r="CE14" i="35"/>
  <c r="FE128" i="20"/>
  <c r="FC127" i="20"/>
  <c r="FD129" i="20"/>
  <c r="FH130" i="20"/>
  <c r="FK133" i="35"/>
  <c r="FI132" i="20"/>
  <c r="FK134" i="20"/>
  <c r="FH131" i="20"/>
  <c r="FF129" i="20"/>
  <c r="FG130" i="20"/>
  <c r="FE127" i="20"/>
  <c r="GV12" i="28"/>
  <c r="HK12" i="20"/>
  <c r="HI12" i="20" s="1"/>
  <c r="JN12" i="20" s="1"/>
  <c r="JO12" i="20" s="1"/>
  <c r="FD14" i="28"/>
  <c r="AZ15" i="28"/>
  <c r="FD15" i="28" s="1"/>
  <c r="IA14" i="28"/>
  <c r="FG129" i="35"/>
  <c r="BX14" i="28"/>
  <c r="GW14" i="28"/>
  <c r="FS14" i="28"/>
  <c r="FH129" i="35"/>
  <c r="FD129" i="28"/>
  <c r="CF12" i="20"/>
  <c r="FC12" i="28"/>
  <c r="CH12" i="20"/>
  <c r="GV12" i="20"/>
  <c r="GT12" i="20" s="1"/>
  <c r="GG12" i="20"/>
  <c r="BD15" i="20"/>
  <c r="FS14" i="20"/>
  <c r="HL14" i="20"/>
  <c r="GH14" i="20"/>
  <c r="GW14" i="20"/>
  <c r="BX14" i="20"/>
  <c r="FD14" i="20"/>
  <c r="HL14" i="28"/>
  <c r="BH42" i="28"/>
  <c r="BY12" i="20"/>
  <c r="CG12" i="20"/>
  <c r="FC12" i="20"/>
  <c r="FA12" i="20" s="1"/>
  <c r="JF12" i="20" s="1"/>
  <c r="JG12" i="20" s="1"/>
  <c r="FP11" i="20"/>
  <c r="JH11" i="20" s="1"/>
  <c r="JI11" i="20" s="1"/>
  <c r="BI13" i="20"/>
  <c r="BI14" i="20" s="1"/>
  <c r="BI15" i="20" s="1"/>
  <c r="BI16" i="20" s="1"/>
  <c r="BI17" i="20" s="1"/>
  <c r="BI18" i="20" s="1"/>
  <c r="BI19" i="20" s="1"/>
  <c r="BI20" i="20" s="1"/>
  <c r="BI21" i="20" s="1"/>
  <c r="BI22" i="20" s="1"/>
  <c r="BI23" i="20" s="1"/>
  <c r="BI24" i="20" s="1"/>
  <c r="BI25" i="20" s="1"/>
  <c r="BI26" i="20" s="1"/>
  <c r="BI27" i="20" s="1"/>
  <c r="BI28" i="20" s="1"/>
  <c r="BI29" i="20" s="1"/>
  <c r="BI30" i="20" s="1"/>
  <c r="BI31" i="20" s="1"/>
  <c r="BI32" i="20" s="1"/>
  <c r="BI33" i="20" s="1"/>
  <c r="BI34" i="20" s="1"/>
  <c r="BI35" i="20" s="1"/>
  <c r="BI36" i="20" s="1"/>
  <c r="BI37" i="20" s="1"/>
  <c r="BI38" i="20" s="1"/>
  <c r="BI39" i="20" s="1"/>
  <c r="BI40" i="20" s="1"/>
  <c r="CE12" i="20"/>
  <c r="FR12" i="20"/>
  <c r="FP12" i="20" s="1"/>
  <c r="BU19" i="35"/>
  <c r="BD42" i="28"/>
  <c r="FH130" i="35"/>
  <c r="FI130" i="35"/>
  <c r="FF128" i="35"/>
  <c r="FJ132" i="35"/>
  <c r="FI131" i="35"/>
  <c r="BG13" i="28"/>
  <c r="CD13" i="28" s="1"/>
  <c r="BG14" i="28"/>
  <c r="GT11" i="20"/>
  <c r="JL11" i="20" s="1"/>
  <c r="JM11" i="20" s="1"/>
  <c r="BG15" i="28"/>
  <c r="HD18" i="35"/>
  <c r="HS18" i="35"/>
  <c r="IW18" i="35"/>
  <c r="IH18" i="35"/>
  <c r="FK18" i="35"/>
  <c r="GO18" i="35"/>
  <c r="FZ18" i="35"/>
  <c r="CS15" i="35"/>
  <c r="DV15" i="35"/>
  <c r="EN15" i="35" s="1"/>
  <c r="CP18" i="35"/>
  <c r="DY18" i="35"/>
  <c r="EQ18" i="35" s="1"/>
  <c r="DX17" i="35"/>
  <c r="CQ17" i="35"/>
  <c r="CX11" i="35"/>
  <c r="CW11" i="35"/>
  <c r="DR11" i="35" s="1"/>
  <c r="AP21" i="35"/>
  <c r="O6" i="35"/>
  <c r="CN20" i="35"/>
  <c r="O8" i="35"/>
  <c r="GN17" i="35"/>
  <c r="FJ17" i="35"/>
  <c r="HC17" i="35"/>
  <c r="FY17" i="35"/>
  <c r="IG17" i="35"/>
  <c r="HR17" i="35"/>
  <c r="IV17" i="35"/>
  <c r="DU14" i="35"/>
  <c r="CT14" i="35"/>
  <c r="DZ19" i="35"/>
  <c r="ER19" i="35" s="1"/>
  <c r="CO19" i="35"/>
  <c r="CV12" i="35"/>
  <c r="DS12" i="35"/>
  <c r="EK12" i="35" s="1"/>
  <c r="HO14" i="35"/>
  <c r="GZ14" i="35"/>
  <c r="ID14" i="35"/>
  <c r="IS14" i="35"/>
  <c r="GK14" i="35"/>
  <c r="FG14" i="35"/>
  <c r="FV14" i="35"/>
  <c r="EL12" i="35"/>
  <c r="DW16" i="35"/>
  <c r="EO16" i="35" s="1"/>
  <c r="CR16" i="35"/>
  <c r="IF16" i="35"/>
  <c r="HB16" i="35"/>
  <c r="HQ16" i="35"/>
  <c r="FI16" i="35"/>
  <c r="IU16" i="35"/>
  <c r="FX16" i="35"/>
  <c r="GM16" i="35"/>
  <c r="DT13" i="35"/>
  <c r="EL13" i="35" s="1"/>
  <c r="CU13" i="35"/>
  <c r="GI11" i="35"/>
  <c r="GE11" i="35" s="1"/>
  <c r="JK11" i="35" s="1"/>
  <c r="JL11" i="35" s="1"/>
  <c r="GX11" i="35"/>
  <c r="GT11" i="35" s="1"/>
  <c r="JM11" i="35" s="1"/>
  <c r="JN11" i="35" s="1"/>
  <c r="IQ11" i="35"/>
  <c r="IM11" i="35" s="1"/>
  <c r="IB11" i="35"/>
  <c r="HX11" i="35" s="1"/>
  <c r="JQ11" i="35" s="1"/>
  <c r="JR11" i="35" s="1"/>
  <c r="FE11" i="35"/>
  <c r="FA11" i="35" s="1"/>
  <c r="JG11" i="35" s="1"/>
  <c r="JH11" i="35" s="1"/>
  <c r="HM11" i="35"/>
  <c r="HI11" i="35" s="1"/>
  <c r="JO11" i="35" s="1"/>
  <c r="JP11" i="35" s="1"/>
  <c r="FT11" i="35"/>
  <c r="IR13" i="35"/>
  <c r="FU13" i="35"/>
  <c r="HN13" i="35"/>
  <c r="FF13" i="35"/>
  <c r="GY13" i="35"/>
  <c r="IC13" i="35"/>
  <c r="GJ13" i="35"/>
  <c r="GL15" i="35"/>
  <c r="FW15" i="35"/>
  <c r="HP15" i="35"/>
  <c r="IT15" i="35"/>
  <c r="HA15" i="35"/>
  <c r="IE15" i="35"/>
  <c r="FH15" i="35"/>
  <c r="BM14" i="20"/>
  <c r="BO13" i="20"/>
  <c r="AA8" i="35"/>
  <c r="AA6" i="35"/>
  <c r="AZ21" i="35"/>
  <c r="AZ43" i="35"/>
  <c r="FH130" i="28"/>
  <c r="BR23" i="35"/>
  <c r="FI131" i="28"/>
  <c r="CN22" i="20"/>
  <c r="CO22" i="20" s="1"/>
  <c r="AP23" i="20"/>
  <c r="FJ132" i="28"/>
  <c r="FA11" i="28"/>
  <c r="JH11" i="28" s="1"/>
  <c r="JI11" i="28" s="1"/>
  <c r="FE127" i="28"/>
  <c r="FF127" i="28"/>
  <c r="FG129" i="28"/>
  <c r="FF128" i="28"/>
  <c r="BS16" i="20"/>
  <c r="CO21" i="20"/>
  <c r="DZ21" i="20"/>
  <c r="ER21" i="20" s="1"/>
  <c r="CY12" i="20"/>
  <c r="DQ12" i="20" s="1"/>
  <c r="FP11" i="28"/>
  <c r="JJ11" i="28" s="1"/>
  <c r="JK11" i="28" s="1"/>
  <c r="BS14" i="20"/>
  <c r="BS18" i="20"/>
  <c r="BS17" i="20"/>
  <c r="BS15" i="20"/>
  <c r="HX11" i="28"/>
  <c r="JR11" i="28" s="1"/>
  <c r="JS11" i="28" s="1"/>
  <c r="BS13" i="20"/>
  <c r="GN17" i="28"/>
  <c r="FJ17" i="28"/>
  <c r="IV17" i="28"/>
  <c r="FY17" i="28"/>
  <c r="HC17" i="28"/>
  <c r="IG17" i="28"/>
  <c r="HR17" i="28"/>
  <c r="HX12" i="20"/>
  <c r="JP12" i="20" s="1"/>
  <c r="JQ12" i="20" s="1"/>
  <c r="IU17" i="20"/>
  <c r="IF17" i="20"/>
  <c r="HQ17" i="20"/>
  <c r="HB17" i="20"/>
  <c r="FX17" i="20"/>
  <c r="GM17" i="20"/>
  <c r="FI17" i="20"/>
  <c r="GZ14" i="28"/>
  <c r="FV14" i="28"/>
  <c r="GK14" i="28"/>
  <c r="FG14" i="28"/>
  <c r="HO14" i="28"/>
  <c r="ID14" i="28"/>
  <c r="IS14" i="28"/>
  <c r="DT14" i="20"/>
  <c r="EL14" i="20" s="1"/>
  <c r="CU14" i="20"/>
  <c r="DS13" i="20"/>
  <c r="EK13" i="20" s="1"/>
  <c r="CV13" i="20"/>
  <c r="CX13" i="20" s="1"/>
  <c r="CZ13" i="20" s="1"/>
  <c r="DB13" i="20" s="1"/>
  <c r="DY19" i="20"/>
  <c r="EQ19" i="20" s="1"/>
  <c r="CP19" i="20"/>
  <c r="IH17" i="28"/>
  <c r="GO17" i="28"/>
  <c r="HD17" i="28"/>
  <c r="HS17" i="28"/>
  <c r="FZ17" i="28"/>
  <c r="FK17" i="28"/>
  <c r="IW17" i="28"/>
  <c r="O6" i="28"/>
  <c r="CN20" i="28"/>
  <c r="AP21" i="28"/>
  <c r="AP43" i="28"/>
  <c r="IZ11" i="20"/>
  <c r="IZ12" i="20" s="1"/>
  <c r="JR11" i="20"/>
  <c r="JS11" i="20" s="1"/>
  <c r="HR17" i="20"/>
  <c r="IG17" i="20"/>
  <c r="HC17" i="20"/>
  <c r="FJ17" i="20"/>
  <c r="FY17" i="20"/>
  <c r="GN17" i="20"/>
  <c r="FJ133" i="20" s="1"/>
  <c r="IV17" i="20"/>
  <c r="CW12" i="20"/>
  <c r="DR12" i="20" s="1"/>
  <c r="EJ12" i="20" s="1"/>
  <c r="CO20" i="20"/>
  <c r="DZ20" i="20"/>
  <c r="ER20" i="20" s="1"/>
  <c r="IB13" i="20"/>
  <c r="IQ13" i="20"/>
  <c r="IM13" i="20" s="1"/>
  <c r="FE13" i="20"/>
  <c r="GI13" i="20"/>
  <c r="FT13" i="20"/>
  <c r="HM13" i="20"/>
  <c r="GX13" i="20"/>
  <c r="HD19" i="20"/>
  <c r="FK19" i="20"/>
  <c r="GO19" i="20"/>
  <c r="FZ19" i="20"/>
  <c r="IW19" i="20"/>
  <c r="IH19" i="20"/>
  <c r="HS19" i="20"/>
  <c r="CO19" i="28"/>
  <c r="DZ19" i="28"/>
  <c r="ER19" i="28" s="1"/>
  <c r="GT11" i="28"/>
  <c r="JN11" i="28" s="1"/>
  <c r="JO11" i="28" s="1"/>
  <c r="CX11" i="20"/>
  <c r="CW11" i="20"/>
  <c r="DR11" i="20" s="1"/>
  <c r="EJ11" i="20" s="1"/>
  <c r="FV15" i="20"/>
  <c r="HO15" i="20"/>
  <c r="GZ15" i="20"/>
  <c r="FG15" i="20"/>
  <c r="ID15" i="20"/>
  <c r="GK15" i="20"/>
  <c r="IS15" i="20"/>
  <c r="CR17" i="20"/>
  <c r="DW17" i="20"/>
  <c r="EO17" i="20" s="1"/>
  <c r="CQ17" i="28"/>
  <c r="DX17" i="28"/>
  <c r="EP17" i="28" s="1"/>
  <c r="CT15" i="20"/>
  <c r="DU15" i="20"/>
  <c r="CQ18" i="20"/>
  <c r="DX18" i="20"/>
  <c r="EP18" i="20" s="1"/>
  <c r="DT13" i="28"/>
  <c r="CU13" i="28"/>
  <c r="CW11" i="28"/>
  <c r="DR11" i="28" s="1"/>
  <c r="EJ11" i="28" s="1"/>
  <c r="CX11" i="28"/>
  <c r="IG18" i="20"/>
  <c r="IV18" i="20"/>
  <c r="GN18" i="20"/>
  <c r="FJ18" i="20"/>
  <c r="FY18" i="20"/>
  <c r="HR18" i="20"/>
  <c r="HC18" i="20"/>
  <c r="EO16" i="20"/>
  <c r="GY13" i="28"/>
  <c r="GJ13" i="28"/>
  <c r="FF13" i="28"/>
  <c r="IC13" i="28"/>
  <c r="HN13" i="28"/>
  <c r="FU13" i="28"/>
  <c r="IR13" i="28"/>
  <c r="CP18" i="28"/>
  <c r="DY18" i="28"/>
  <c r="EQ18" i="28" s="1"/>
  <c r="DS12" i="28"/>
  <c r="EK12" i="28" s="1"/>
  <c r="CV12" i="28"/>
  <c r="CS16" i="20"/>
  <c r="DV16" i="20"/>
  <c r="EN16" i="20" s="1"/>
  <c r="CR16" i="28"/>
  <c r="DW16" i="28"/>
  <c r="EO16" i="28" s="1"/>
  <c r="IE15" i="28"/>
  <c r="HA15" i="28"/>
  <c r="FW15" i="28"/>
  <c r="GL15" i="28"/>
  <c r="IT15" i="28"/>
  <c r="FH15" i="28"/>
  <c r="HP15" i="28"/>
  <c r="HS18" i="28"/>
  <c r="GO18" i="28"/>
  <c r="IH18" i="28"/>
  <c r="IW18" i="28"/>
  <c r="FZ18" i="28"/>
  <c r="FK18" i="28"/>
  <c r="HD18" i="28"/>
  <c r="GE11" i="20"/>
  <c r="IM11" i="28"/>
  <c r="IQ12" i="28"/>
  <c r="IM12" i="28" s="1"/>
  <c r="IB12" i="28"/>
  <c r="HX12" i="28" s="1"/>
  <c r="GI12" i="28"/>
  <c r="GX12" i="28"/>
  <c r="FE12" i="28"/>
  <c r="FT12" i="28"/>
  <c r="HM12" i="28"/>
  <c r="HI12" i="28" s="1"/>
  <c r="CT14" i="28"/>
  <c r="DU14" i="28"/>
  <c r="EM14" i="20"/>
  <c r="FI16" i="28"/>
  <c r="IU16" i="28"/>
  <c r="FX16" i="28"/>
  <c r="GM16" i="28"/>
  <c r="IF16" i="28"/>
  <c r="HQ16" i="28"/>
  <c r="HB16" i="28"/>
  <c r="DV15" i="28"/>
  <c r="EN15" i="28" s="1"/>
  <c r="CS15" i="28"/>
  <c r="HI11" i="28"/>
  <c r="JP11" i="28" s="1"/>
  <c r="JQ11" i="28" s="1"/>
  <c r="BU32" i="28"/>
  <c r="BE33" i="28"/>
  <c r="BG14" i="20"/>
  <c r="BG13" i="20"/>
  <c r="HK13" i="20" s="1"/>
  <c r="HZ13" i="28"/>
  <c r="CC13" i="28"/>
  <c r="BA15" i="28"/>
  <c r="BC14" i="28"/>
  <c r="BM14" i="28"/>
  <c r="BO13" i="28"/>
  <c r="BW16" i="28"/>
  <c r="BV17" i="28"/>
  <c r="BV19" i="20"/>
  <c r="BJ18" i="20"/>
  <c r="BQ15" i="28"/>
  <c r="BS14" i="28"/>
  <c r="DB12" i="20"/>
  <c r="DA12" i="20"/>
  <c r="DP12" i="20" s="1"/>
  <c r="BN16" i="28"/>
  <c r="AZ30" i="20"/>
  <c r="IA29" i="20"/>
  <c r="GG12" i="28"/>
  <c r="BJ18" i="28"/>
  <c r="BL42" i="20"/>
  <c r="BS19" i="20"/>
  <c r="BR20" i="20"/>
  <c r="BN17" i="20"/>
  <c r="CB17" i="20"/>
  <c r="IP17" i="20"/>
  <c r="IA17" i="20"/>
  <c r="AY18" i="20"/>
  <c r="BY12" i="28"/>
  <c r="CF12" i="28"/>
  <c r="BU15" i="20"/>
  <c r="BW14" i="20"/>
  <c r="FC127" i="28"/>
  <c r="GE11" i="28"/>
  <c r="HZ13" i="20"/>
  <c r="CC13" i="20"/>
  <c r="FR12" i="28"/>
  <c r="CG12" i="28"/>
  <c r="CB19" i="28"/>
  <c r="IP19" i="28"/>
  <c r="AY20" i="28"/>
  <c r="AY43" i="28" s="1"/>
  <c r="BB17" i="28"/>
  <c r="BA15" i="20"/>
  <c r="BC14" i="20"/>
  <c r="BG16" i="28"/>
  <c r="BF17" i="28"/>
  <c r="CH12" i="28"/>
  <c r="BI15" i="28"/>
  <c r="BK14" i="28"/>
  <c r="BB20" i="20"/>
  <c r="BL31" i="28"/>
  <c r="BP42" i="20"/>
  <c r="BF16" i="20"/>
  <c r="BG15" i="20"/>
  <c r="BR17" i="28"/>
  <c r="FC130" i="35" l="1"/>
  <c r="FD132" i="35"/>
  <c r="BY15" i="35"/>
  <c r="FR15" i="35"/>
  <c r="CH15" i="35"/>
  <c r="BQ18" i="35"/>
  <c r="BS17" i="35"/>
  <c r="BB18" i="35"/>
  <c r="BC17" i="35"/>
  <c r="CC17" i="35" s="1"/>
  <c r="HZ16" i="35"/>
  <c r="BK19" i="35"/>
  <c r="BJ20" i="35"/>
  <c r="CE15" i="35"/>
  <c r="CD15" i="35"/>
  <c r="CF15" i="35"/>
  <c r="FC15" i="35"/>
  <c r="BN18" i="35"/>
  <c r="BO17" i="35"/>
  <c r="BE17" i="35"/>
  <c r="BG16" i="35"/>
  <c r="GV16" i="35" s="1"/>
  <c r="CG15" i="35"/>
  <c r="IA17" i="35"/>
  <c r="HL17" i="35"/>
  <c r="GW17" i="35"/>
  <c r="CB17" i="35"/>
  <c r="IP17" i="35"/>
  <c r="AY18" i="35"/>
  <c r="BX17" i="35"/>
  <c r="GH17" i="35"/>
  <c r="FS17" i="35"/>
  <c r="FD17" i="35"/>
  <c r="HK15" i="35"/>
  <c r="BF20" i="35"/>
  <c r="BV18" i="35"/>
  <c r="BW17" i="35"/>
  <c r="GG15" i="35"/>
  <c r="FJ134" i="20"/>
  <c r="FS15" i="28"/>
  <c r="GH15" i="28"/>
  <c r="AZ16" i="28"/>
  <c r="HL16" i="28" s="1"/>
  <c r="GW15" i="28"/>
  <c r="HL15" i="28"/>
  <c r="BX15" i="28"/>
  <c r="FD130" i="28"/>
  <c r="FJ133" i="35"/>
  <c r="FK134" i="35"/>
  <c r="IA15" i="28"/>
  <c r="FG131" i="20"/>
  <c r="FI133" i="20"/>
  <c r="FD130" i="20"/>
  <c r="FK135" i="20"/>
  <c r="GT12" i="28"/>
  <c r="JN12" i="28" s="1"/>
  <c r="JO12" i="28" s="1"/>
  <c r="FE129" i="20"/>
  <c r="FC128" i="20"/>
  <c r="FA12" i="28"/>
  <c r="JH12" i="28" s="1"/>
  <c r="JI12" i="28" s="1"/>
  <c r="GE12" i="20"/>
  <c r="FA128" i="20" s="1"/>
  <c r="FG130" i="35"/>
  <c r="BD16" i="20"/>
  <c r="GH15" i="20"/>
  <c r="FS15" i="20"/>
  <c r="BX15" i="20"/>
  <c r="GW15" i="20"/>
  <c r="HL15" i="20"/>
  <c r="FD15" i="20"/>
  <c r="BK13" i="20"/>
  <c r="CF13" i="20" s="1"/>
  <c r="JH12" i="20"/>
  <c r="JI12" i="20" s="1"/>
  <c r="BK14" i="20"/>
  <c r="GV14" i="20" s="1"/>
  <c r="BK16" i="20"/>
  <c r="BK15" i="20"/>
  <c r="BK17" i="20"/>
  <c r="BU20" i="35"/>
  <c r="CE13" i="28"/>
  <c r="GV13" i="28"/>
  <c r="HK13" i="28"/>
  <c r="CG13" i="28"/>
  <c r="FF129" i="35"/>
  <c r="JL12" i="20"/>
  <c r="JM12" i="20" s="1"/>
  <c r="FI132" i="35"/>
  <c r="FH131" i="35"/>
  <c r="IB12" i="35"/>
  <c r="HX12" i="35" s="1"/>
  <c r="JQ12" i="35" s="1"/>
  <c r="JR12" i="35" s="1"/>
  <c r="HM12" i="35"/>
  <c r="HI12" i="35" s="1"/>
  <c r="JO12" i="35" s="1"/>
  <c r="JP12" i="35" s="1"/>
  <c r="GX12" i="35"/>
  <c r="GT12" i="35" s="1"/>
  <c r="JM12" i="35" s="1"/>
  <c r="JN12" i="35" s="1"/>
  <c r="IQ12" i="35"/>
  <c r="IM12" i="35" s="1"/>
  <c r="GI12" i="35"/>
  <c r="GE12" i="35" s="1"/>
  <c r="JK12" i="35" s="1"/>
  <c r="JL12" i="35" s="1"/>
  <c r="FE12" i="35"/>
  <c r="FA12" i="35" s="1"/>
  <c r="JG12" i="35" s="1"/>
  <c r="JH12" i="35" s="1"/>
  <c r="FT12" i="35"/>
  <c r="AP22" i="35"/>
  <c r="CN21" i="35"/>
  <c r="CT15" i="35"/>
  <c r="DU15" i="35"/>
  <c r="EM15" i="35" s="1"/>
  <c r="IZ11" i="35"/>
  <c r="JS11" i="35"/>
  <c r="JT11" i="35" s="1"/>
  <c r="CW12" i="35"/>
  <c r="DR12" i="35" s="1"/>
  <c r="EJ12" i="35" s="1"/>
  <c r="CX12" i="35"/>
  <c r="EJ11" i="35"/>
  <c r="DY19" i="35"/>
  <c r="CP19" i="35"/>
  <c r="CZ11" i="35"/>
  <c r="CY11" i="35"/>
  <c r="DQ11" i="35" s="1"/>
  <c r="EI11" i="35" s="1"/>
  <c r="GO19" i="35"/>
  <c r="HS19" i="35"/>
  <c r="IH19" i="35"/>
  <c r="FK19" i="35"/>
  <c r="FZ19" i="35"/>
  <c r="IW19" i="35"/>
  <c r="HD19" i="35"/>
  <c r="CR17" i="35"/>
  <c r="DW17" i="35"/>
  <c r="EO17" i="35" s="1"/>
  <c r="DS13" i="35"/>
  <c r="EK13" i="35" s="1"/>
  <c r="CV13" i="35"/>
  <c r="DT14" i="35"/>
  <c r="EL14" i="35" s="1"/>
  <c r="CU14" i="35"/>
  <c r="EP17" i="35"/>
  <c r="FE127" i="35"/>
  <c r="FP11" i="35"/>
  <c r="IB13" i="35"/>
  <c r="HX13" i="35" s="1"/>
  <c r="GI13" i="35"/>
  <c r="GE13" i="35" s="1"/>
  <c r="HM13" i="35"/>
  <c r="HI13" i="35" s="1"/>
  <c r="GX13" i="35"/>
  <c r="GT13" i="35" s="1"/>
  <c r="IQ13" i="35"/>
  <c r="IM13" i="35" s="1"/>
  <c r="FT13" i="35"/>
  <c r="FE13" i="35"/>
  <c r="FA13" i="35" s="1"/>
  <c r="CS16" i="35"/>
  <c r="DV16" i="35"/>
  <c r="EN16" i="35" s="1"/>
  <c r="EM14" i="35"/>
  <c r="FJ18" i="35"/>
  <c r="FY18" i="35"/>
  <c r="GN18" i="35"/>
  <c r="IG18" i="35"/>
  <c r="HC18" i="35"/>
  <c r="HR18" i="35"/>
  <c r="IV18" i="35"/>
  <c r="FW16" i="35"/>
  <c r="GL16" i="35"/>
  <c r="HP16" i="35"/>
  <c r="IT16" i="35"/>
  <c r="HA16" i="35"/>
  <c r="IE16" i="35"/>
  <c r="FH16" i="35"/>
  <c r="CO20" i="35"/>
  <c r="DZ20" i="35"/>
  <c r="ER20" i="35" s="1"/>
  <c r="CQ18" i="35"/>
  <c r="DX18" i="35"/>
  <c r="EP18" i="35" s="1"/>
  <c r="GK15" i="35"/>
  <c r="HO15" i="35"/>
  <c r="IS15" i="35"/>
  <c r="GZ15" i="35"/>
  <c r="FG15" i="35"/>
  <c r="ID15" i="35"/>
  <c r="FV15" i="35"/>
  <c r="HX13" i="20"/>
  <c r="JP13" i="20" s="1"/>
  <c r="JQ13" i="20" s="1"/>
  <c r="CW13" i="20"/>
  <c r="DR13" i="20" s="1"/>
  <c r="EJ13" i="20" s="1"/>
  <c r="JR12" i="20"/>
  <c r="JS12" i="20" s="1"/>
  <c r="BM15" i="20"/>
  <c r="BO14" i="20"/>
  <c r="AZ22" i="35"/>
  <c r="FI132" i="28"/>
  <c r="BR24" i="35"/>
  <c r="DZ22" i="20"/>
  <c r="ER22" i="20" s="1"/>
  <c r="FK22" i="20" s="1"/>
  <c r="FK134" i="28"/>
  <c r="FJ133" i="28"/>
  <c r="AP24" i="20"/>
  <c r="CN23" i="20"/>
  <c r="FH131" i="28"/>
  <c r="FK133" i="28"/>
  <c r="FP12" i="28"/>
  <c r="JJ12" i="28" s="1"/>
  <c r="JK12" i="28" s="1"/>
  <c r="FG130" i="28"/>
  <c r="FE128" i="28"/>
  <c r="JR12" i="28"/>
  <c r="JS12" i="28" s="1"/>
  <c r="FF129" i="28"/>
  <c r="DY22" i="20"/>
  <c r="CP22" i="20"/>
  <c r="HS21" i="20"/>
  <c r="IW21" i="20"/>
  <c r="IH21" i="20"/>
  <c r="FK21" i="20"/>
  <c r="GO21" i="20"/>
  <c r="FZ21" i="20"/>
  <c r="HD21" i="20"/>
  <c r="CP21" i="20"/>
  <c r="DY21" i="20"/>
  <c r="EQ21" i="20" s="1"/>
  <c r="IZ13" i="20"/>
  <c r="HI13" i="20"/>
  <c r="JN13" i="20" s="1"/>
  <c r="JO13" i="20" s="1"/>
  <c r="CN21" i="28"/>
  <c r="AP22" i="28"/>
  <c r="CV13" i="28"/>
  <c r="DS13" i="28"/>
  <c r="EK13" i="28" s="1"/>
  <c r="CR17" i="28"/>
  <c r="DW17" i="28"/>
  <c r="EO17" i="28" s="1"/>
  <c r="CY11" i="20"/>
  <c r="DQ11" i="20" s="1"/>
  <c r="EI11" i="20" s="1"/>
  <c r="CZ11" i="20"/>
  <c r="GZ16" i="20"/>
  <c r="FV16" i="20"/>
  <c r="IS16" i="20"/>
  <c r="FG16" i="20"/>
  <c r="GK16" i="20"/>
  <c r="ID16" i="20"/>
  <c r="HO16" i="20"/>
  <c r="DV17" i="20"/>
  <c r="CS17" i="20"/>
  <c r="CT16" i="20"/>
  <c r="DU16" i="20"/>
  <c r="EL13" i="28"/>
  <c r="GL17" i="20"/>
  <c r="HP17" i="20"/>
  <c r="HA17" i="20"/>
  <c r="FW17" i="20"/>
  <c r="FH17" i="20"/>
  <c r="IE17" i="20"/>
  <c r="IT17" i="20"/>
  <c r="EM14" i="28"/>
  <c r="FX18" i="20"/>
  <c r="HQ18" i="20"/>
  <c r="HB18" i="20"/>
  <c r="FI18" i="20"/>
  <c r="GM18" i="20"/>
  <c r="IF18" i="20"/>
  <c r="IU18" i="20"/>
  <c r="CO20" i="28"/>
  <c r="DZ20" i="28"/>
  <c r="ER20" i="28" s="1"/>
  <c r="FF14" i="20"/>
  <c r="GJ14" i="20"/>
  <c r="HN14" i="20"/>
  <c r="FU14" i="20"/>
  <c r="GY14" i="20"/>
  <c r="IC14" i="20"/>
  <c r="IR14" i="20"/>
  <c r="IE16" i="20"/>
  <c r="GL16" i="20"/>
  <c r="FH16" i="20"/>
  <c r="FW16" i="20"/>
  <c r="IT16" i="20"/>
  <c r="HA16" i="20"/>
  <c r="HP16" i="20"/>
  <c r="DS14" i="20"/>
  <c r="EK14" i="20" s="1"/>
  <c r="CV14" i="20"/>
  <c r="CX14" i="20" s="1"/>
  <c r="CZ14" i="20" s="1"/>
  <c r="DT14" i="28"/>
  <c r="EL14" i="28" s="1"/>
  <c r="CU14" i="28"/>
  <c r="CR18" i="20"/>
  <c r="DW18" i="20"/>
  <c r="EO18" i="20" s="1"/>
  <c r="CQ19" i="20"/>
  <c r="DX19" i="20"/>
  <c r="EP19" i="20" s="1"/>
  <c r="IQ14" i="20"/>
  <c r="FT14" i="20"/>
  <c r="GI14" i="20"/>
  <c r="IB14" i="20"/>
  <c r="HM14" i="20"/>
  <c r="GX14" i="20"/>
  <c r="FE14" i="20"/>
  <c r="FV15" i="28"/>
  <c r="ID15" i="28"/>
  <c r="IS15" i="28"/>
  <c r="HO15" i="28"/>
  <c r="GZ15" i="28"/>
  <c r="GK15" i="28"/>
  <c r="FG15" i="28"/>
  <c r="JP12" i="28"/>
  <c r="JQ12" i="28" s="1"/>
  <c r="JT11" i="28"/>
  <c r="JU11" i="28" s="1"/>
  <c r="JA11" i="28"/>
  <c r="JA12" i="28" s="1"/>
  <c r="IE16" i="28"/>
  <c r="GL16" i="28"/>
  <c r="HP16" i="28"/>
  <c r="FW16" i="28"/>
  <c r="FH16" i="28"/>
  <c r="HA16" i="28"/>
  <c r="IT16" i="28"/>
  <c r="IG18" i="28"/>
  <c r="FJ18" i="28"/>
  <c r="FY18" i="28"/>
  <c r="HR18" i="28"/>
  <c r="IV18" i="28"/>
  <c r="GN18" i="28"/>
  <c r="HC18" i="28"/>
  <c r="EI12" i="20"/>
  <c r="CY11" i="28"/>
  <c r="DQ11" i="28" s="1"/>
  <c r="EI11" i="28" s="1"/>
  <c r="CZ11" i="28"/>
  <c r="EM15" i="20"/>
  <c r="GO19" i="28"/>
  <c r="FK19" i="28"/>
  <c r="HS19" i="28"/>
  <c r="IH19" i="28"/>
  <c r="IW19" i="28"/>
  <c r="FZ19" i="28"/>
  <c r="HD19" i="28"/>
  <c r="HS20" i="20"/>
  <c r="FK20" i="20"/>
  <c r="IW20" i="20"/>
  <c r="HD20" i="20"/>
  <c r="FZ20" i="20"/>
  <c r="IH20" i="20"/>
  <c r="GO20" i="20"/>
  <c r="HC19" i="20"/>
  <c r="IV19" i="20"/>
  <c r="HR19" i="20"/>
  <c r="FY19" i="20"/>
  <c r="IG19" i="20"/>
  <c r="FJ19" i="20"/>
  <c r="GN19" i="20"/>
  <c r="DU15" i="28"/>
  <c r="EM15" i="28" s="1"/>
  <c r="CT15" i="28"/>
  <c r="CX12" i="28"/>
  <c r="CW12" i="28"/>
  <c r="DR12" i="28" s="1"/>
  <c r="FA127" i="20"/>
  <c r="JJ11" i="20"/>
  <c r="JK11" i="20" s="1"/>
  <c r="JA11" i="20" s="1"/>
  <c r="DV16" i="28"/>
  <c r="CS16" i="28"/>
  <c r="CQ18" i="28"/>
  <c r="DX18" i="28"/>
  <c r="EP18" i="28" s="1"/>
  <c r="DT15" i="20"/>
  <c r="EL15" i="20" s="1"/>
  <c r="CU15" i="20"/>
  <c r="GM17" i="28"/>
  <c r="HQ17" i="28"/>
  <c r="IF17" i="28"/>
  <c r="FX17" i="28"/>
  <c r="HB17" i="28"/>
  <c r="IU17" i="28"/>
  <c r="FI17" i="28"/>
  <c r="DY19" i="28"/>
  <c r="EQ19" i="28" s="1"/>
  <c r="CP19" i="28"/>
  <c r="CP20" i="20"/>
  <c r="DY20" i="20"/>
  <c r="EQ20" i="20" s="1"/>
  <c r="BE34" i="28"/>
  <c r="BU33" i="28"/>
  <c r="FC13" i="28"/>
  <c r="BY13" i="28"/>
  <c r="GG13" i="28"/>
  <c r="CF13" i="28"/>
  <c r="FR13" i="28"/>
  <c r="CH13" i="28"/>
  <c r="CD13" i="20"/>
  <c r="CY13" i="20"/>
  <c r="DQ13" i="20" s="1"/>
  <c r="CC14" i="28"/>
  <c r="HK14" i="28"/>
  <c r="HZ14" i="28"/>
  <c r="CD14" i="28"/>
  <c r="BA16" i="28"/>
  <c r="BC15" i="28"/>
  <c r="CC14" i="20"/>
  <c r="HZ14" i="20"/>
  <c r="HK14" i="20"/>
  <c r="CD14" i="20"/>
  <c r="BQ16" i="28"/>
  <c r="BS15" i="28"/>
  <c r="BG16" i="20"/>
  <c r="BF17" i="20"/>
  <c r="CB43" i="28"/>
  <c r="BA16" i="20"/>
  <c r="BC15" i="20"/>
  <c r="BU16" i="20"/>
  <c r="BW15" i="20"/>
  <c r="CE14" i="28"/>
  <c r="GV14" i="28"/>
  <c r="CB20" i="28"/>
  <c r="CB45" i="28" s="1"/>
  <c r="CB47" i="28" s="1"/>
  <c r="Z6" i="28"/>
  <c r="IP20" i="28"/>
  <c r="AY21" i="28"/>
  <c r="BI16" i="28"/>
  <c r="BK15" i="28"/>
  <c r="FC128" i="28"/>
  <c r="GE12" i="28"/>
  <c r="BW17" i="28"/>
  <c r="BV18" i="28"/>
  <c r="BR18" i="28"/>
  <c r="IP18" i="20"/>
  <c r="CB18" i="20"/>
  <c r="IA18" i="20"/>
  <c r="AY19" i="20"/>
  <c r="DD13" i="20"/>
  <c r="BK18" i="20"/>
  <c r="BJ19" i="20"/>
  <c r="BL32" i="28"/>
  <c r="BN18" i="20"/>
  <c r="AZ31" i="20"/>
  <c r="IA30" i="20"/>
  <c r="EH12" i="20"/>
  <c r="BM15" i="28"/>
  <c r="BO14" i="28"/>
  <c r="CF14" i="28" s="1"/>
  <c r="BB21" i="20"/>
  <c r="BG17" i="28"/>
  <c r="BF18" i="28"/>
  <c r="BS20" i="20"/>
  <c r="BS43" i="20" s="1"/>
  <c r="BR21" i="20"/>
  <c r="BJ19" i="28"/>
  <c r="DC12" i="20"/>
  <c r="DO12" i="20" s="1"/>
  <c r="EG12" i="20" s="1"/>
  <c r="DD12" i="20"/>
  <c r="BV20" i="20"/>
  <c r="BB18" i="28"/>
  <c r="JL11" i="28"/>
  <c r="JM11" i="28" s="1"/>
  <c r="JB11" i="28" s="1"/>
  <c r="FA127" i="28"/>
  <c r="BN17" i="28"/>
  <c r="FC131" i="35" l="1"/>
  <c r="FD133" i="35"/>
  <c r="BY16" i="35"/>
  <c r="BQ19" i="35"/>
  <c r="BS18" i="35"/>
  <c r="FC16" i="35"/>
  <c r="BF21" i="35"/>
  <c r="IP18" i="35"/>
  <c r="IA18" i="35"/>
  <c r="FS18" i="35"/>
  <c r="FD134" i="35" s="1"/>
  <c r="CB18" i="35"/>
  <c r="GH18" i="35"/>
  <c r="HL18" i="35"/>
  <c r="GW18" i="35"/>
  <c r="BX18" i="35"/>
  <c r="FD18" i="35"/>
  <c r="AY19" i="35"/>
  <c r="CF16" i="35"/>
  <c r="CE16" i="35"/>
  <c r="CD16" i="35"/>
  <c r="BJ21" i="35"/>
  <c r="BK20" i="35"/>
  <c r="HK16" i="35"/>
  <c r="BV19" i="35"/>
  <c r="BW18" i="35"/>
  <c r="BE18" i="35"/>
  <c r="BG17" i="35"/>
  <c r="CH17" i="35" s="1"/>
  <c r="GG16" i="35"/>
  <c r="FR16" i="35"/>
  <c r="FC132" i="35" s="1"/>
  <c r="BO18" i="35"/>
  <c r="BN19" i="35"/>
  <c r="CG16" i="35"/>
  <c r="HZ17" i="35"/>
  <c r="CH16" i="35"/>
  <c r="BC18" i="35"/>
  <c r="CC18" i="35" s="1"/>
  <c r="BB19" i="35"/>
  <c r="GG13" i="20"/>
  <c r="GE13" i="20" s="1"/>
  <c r="FD131" i="28"/>
  <c r="AZ17" i="28"/>
  <c r="AZ18" i="28" s="1"/>
  <c r="AZ19" i="28" s="1"/>
  <c r="GW16" i="28"/>
  <c r="IA16" i="28"/>
  <c r="GH16" i="28"/>
  <c r="BX16" i="28"/>
  <c r="FD16" i="28"/>
  <c r="FS16" i="28"/>
  <c r="FK137" i="20"/>
  <c r="FH133" i="20"/>
  <c r="FG132" i="20"/>
  <c r="FI134" i="20"/>
  <c r="FF130" i="20"/>
  <c r="FH132" i="20"/>
  <c r="FK136" i="20"/>
  <c r="FJ135" i="20"/>
  <c r="FE130" i="20"/>
  <c r="FD131" i="20"/>
  <c r="FR13" i="20"/>
  <c r="FP13" i="20" s="1"/>
  <c r="CG13" i="20"/>
  <c r="FC13" i="20"/>
  <c r="FA13" i="20" s="1"/>
  <c r="JF13" i="20" s="1"/>
  <c r="JG13" i="20" s="1"/>
  <c r="GV13" i="20"/>
  <c r="GT13" i="20" s="1"/>
  <c r="JL13" i="20" s="1"/>
  <c r="JM13" i="20" s="1"/>
  <c r="BY13" i="20"/>
  <c r="CH13" i="20"/>
  <c r="FH132" i="35"/>
  <c r="DC13" i="20"/>
  <c r="DO13" i="20" s="1"/>
  <c r="DA13" i="20"/>
  <c r="DP13" i="20" s="1"/>
  <c r="EH13" i="20" s="1"/>
  <c r="CE13" i="20"/>
  <c r="CH14" i="20"/>
  <c r="DA14" i="20"/>
  <c r="DP14" i="20" s="1"/>
  <c r="CE14" i="20"/>
  <c r="FK135" i="35"/>
  <c r="BD17" i="20"/>
  <c r="GH16" i="20"/>
  <c r="GW16" i="20"/>
  <c r="HL16" i="20"/>
  <c r="FD16" i="20"/>
  <c r="FS16" i="20"/>
  <c r="BX16" i="20"/>
  <c r="IM14" i="20"/>
  <c r="IZ14" i="20" s="1"/>
  <c r="EQ22" i="20"/>
  <c r="FZ22" i="20"/>
  <c r="JK13" i="35"/>
  <c r="JL13" i="35" s="1"/>
  <c r="BU21" i="35"/>
  <c r="JM13" i="35"/>
  <c r="JN13" i="35" s="1"/>
  <c r="FG131" i="35"/>
  <c r="JO13" i="35"/>
  <c r="JP13" i="35" s="1"/>
  <c r="JQ13" i="35"/>
  <c r="JR13" i="35" s="1"/>
  <c r="FJ134" i="35"/>
  <c r="JG13" i="35"/>
  <c r="JH13" i="35" s="1"/>
  <c r="HP17" i="35"/>
  <c r="IT17" i="35"/>
  <c r="HA17" i="35"/>
  <c r="IE17" i="35"/>
  <c r="FH17" i="35"/>
  <c r="GL17" i="35"/>
  <c r="FW17" i="35"/>
  <c r="CP20" i="35"/>
  <c r="DY20" i="35"/>
  <c r="GJ14" i="35"/>
  <c r="IR14" i="35"/>
  <c r="IC14" i="35"/>
  <c r="FF14" i="35"/>
  <c r="FU14" i="35"/>
  <c r="HN14" i="35"/>
  <c r="GY14" i="35"/>
  <c r="CW13" i="35"/>
  <c r="DR13" i="35" s="1"/>
  <c r="EJ13" i="35" s="1"/>
  <c r="CX13" i="35"/>
  <c r="AP23" i="35"/>
  <c r="CN22" i="35"/>
  <c r="FG16" i="35"/>
  <c r="FV16" i="35"/>
  <c r="GZ16" i="35"/>
  <c r="ID16" i="35"/>
  <c r="GK16" i="35"/>
  <c r="IS16" i="35"/>
  <c r="HO16" i="35"/>
  <c r="CZ12" i="35"/>
  <c r="CY12" i="35"/>
  <c r="DQ12" i="35" s="1"/>
  <c r="EI12" i="35" s="1"/>
  <c r="FE128" i="35"/>
  <c r="FP12" i="35"/>
  <c r="CT16" i="35"/>
  <c r="DU16" i="35"/>
  <c r="EM16" i="35" s="1"/>
  <c r="JI11" i="35"/>
  <c r="JJ11" i="35" s="1"/>
  <c r="JA11" i="35" s="1"/>
  <c r="FA127" i="35"/>
  <c r="D50" i="34" s="1"/>
  <c r="CS17" i="35"/>
  <c r="DV17" i="35"/>
  <c r="GO22" i="20"/>
  <c r="FE129" i="35"/>
  <c r="FP13" i="35"/>
  <c r="DA11" i="35"/>
  <c r="DP11" i="35" s="1"/>
  <c r="DB11" i="35"/>
  <c r="IZ12" i="35"/>
  <c r="IZ13" i="35" s="1"/>
  <c r="JS12" i="35"/>
  <c r="JT12" i="35" s="1"/>
  <c r="IW22" i="20"/>
  <c r="HQ18" i="35"/>
  <c r="HB18" i="35"/>
  <c r="FX18" i="35"/>
  <c r="GM18" i="35"/>
  <c r="FI18" i="35"/>
  <c r="IF18" i="35"/>
  <c r="IU18" i="35"/>
  <c r="GM17" i="35"/>
  <c r="IF17" i="35"/>
  <c r="HB17" i="35"/>
  <c r="FX17" i="35"/>
  <c r="IU17" i="35"/>
  <c r="FI17" i="35"/>
  <c r="HQ17" i="35"/>
  <c r="DX19" i="35"/>
  <c r="EP19" i="35" s="1"/>
  <c r="CQ19" i="35"/>
  <c r="IR15" i="35"/>
  <c r="GJ15" i="35"/>
  <c r="FF15" i="35"/>
  <c r="HN15" i="35"/>
  <c r="FU15" i="35"/>
  <c r="GY15" i="35"/>
  <c r="IC15" i="35"/>
  <c r="CR18" i="35"/>
  <c r="DW18" i="35"/>
  <c r="EO18" i="35" s="1"/>
  <c r="CV14" i="35"/>
  <c r="DS14" i="35"/>
  <c r="EK14" i="35" s="1"/>
  <c r="EQ19" i="35"/>
  <c r="DT15" i="35"/>
  <c r="CU15" i="35"/>
  <c r="HD20" i="35"/>
  <c r="GO20" i="35"/>
  <c r="HS20" i="35"/>
  <c r="IW20" i="35"/>
  <c r="IH20" i="35"/>
  <c r="FK20" i="35"/>
  <c r="FZ20" i="35"/>
  <c r="GI14" i="35"/>
  <c r="GX14" i="35"/>
  <c r="IB14" i="35"/>
  <c r="IQ14" i="35"/>
  <c r="FT14" i="35"/>
  <c r="HM14" i="35"/>
  <c r="FE14" i="35"/>
  <c r="DZ21" i="35"/>
  <c r="ER21" i="35" s="1"/>
  <c r="CO21" i="35"/>
  <c r="HD22" i="20"/>
  <c r="JR13" i="20"/>
  <c r="JS13" i="20" s="1"/>
  <c r="HS22" i="20"/>
  <c r="BY14" i="20"/>
  <c r="FR14" i="20"/>
  <c r="FP14" i="20" s="1"/>
  <c r="GG14" i="20"/>
  <c r="GE14" i="20" s="1"/>
  <c r="CG14" i="20"/>
  <c r="FC14" i="20"/>
  <c r="FA14" i="20" s="1"/>
  <c r="CF14" i="20"/>
  <c r="BM16" i="20"/>
  <c r="BO15" i="20"/>
  <c r="FR15" i="20" s="1"/>
  <c r="AZ23" i="35"/>
  <c r="IH22" i="20"/>
  <c r="BR25" i="35"/>
  <c r="FI133" i="28"/>
  <c r="CO23" i="20"/>
  <c r="DZ23" i="20"/>
  <c r="ER23" i="20" s="1"/>
  <c r="AP25" i="20"/>
  <c r="CN24" i="20"/>
  <c r="HI14" i="20"/>
  <c r="JN14" i="20" s="1"/>
  <c r="JO14" i="20" s="1"/>
  <c r="FK135" i="28"/>
  <c r="FH132" i="28"/>
  <c r="FJ134" i="28"/>
  <c r="FG131" i="28"/>
  <c r="FY22" i="20"/>
  <c r="HC22" i="20"/>
  <c r="IG22" i="20"/>
  <c r="FJ22" i="20"/>
  <c r="IV22" i="20"/>
  <c r="HR22" i="20"/>
  <c r="GN22" i="20"/>
  <c r="HR21" i="20"/>
  <c r="HC21" i="20"/>
  <c r="GN21" i="20"/>
  <c r="FY21" i="20"/>
  <c r="FJ21" i="20"/>
  <c r="IV21" i="20"/>
  <c r="IG21" i="20"/>
  <c r="DB14" i="20"/>
  <c r="DD14" i="20" s="1"/>
  <c r="CQ21" i="20"/>
  <c r="DX21" i="20"/>
  <c r="EP21" i="20" s="1"/>
  <c r="DX22" i="20"/>
  <c r="EP22" i="20" s="1"/>
  <c r="CQ22" i="20"/>
  <c r="CW14" i="20"/>
  <c r="DR14" i="20" s="1"/>
  <c r="EJ14" i="20" s="1"/>
  <c r="HX14" i="20"/>
  <c r="JP14" i="20" s="1"/>
  <c r="JQ14" i="20" s="1"/>
  <c r="CY14" i="20"/>
  <c r="DQ14" i="20" s="1"/>
  <c r="GT14" i="20"/>
  <c r="GI15" i="20"/>
  <c r="FT15" i="20"/>
  <c r="GX15" i="20"/>
  <c r="FE15" i="20"/>
  <c r="HM15" i="20"/>
  <c r="IB15" i="20"/>
  <c r="IQ15" i="20"/>
  <c r="JJ12" i="20"/>
  <c r="JK12" i="20" s="1"/>
  <c r="JA12" i="20" s="1"/>
  <c r="CR18" i="28"/>
  <c r="DW18" i="28"/>
  <c r="EO18" i="28" s="1"/>
  <c r="HN15" i="28"/>
  <c r="FU15" i="28"/>
  <c r="GY15" i="28"/>
  <c r="FF15" i="28"/>
  <c r="GJ15" i="28"/>
  <c r="IR15" i="28"/>
  <c r="IC15" i="28"/>
  <c r="DA11" i="28"/>
  <c r="DP11" i="28" s="1"/>
  <c r="EH11" i="28" s="1"/>
  <c r="DB11" i="28"/>
  <c r="FX19" i="20"/>
  <c r="IU19" i="20"/>
  <c r="IF19" i="20"/>
  <c r="HB19" i="20"/>
  <c r="HQ19" i="20"/>
  <c r="FI19" i="20"/>
  <c r="GM19" i="20"/>
  <c r="EM16" i="20"/>
  <c r="FH17" i="28"/>
  <c r="IE17" i="28"/>
  <c r="HP17" i="28"/>
  <c r="HA17" i="28"/>
  <c r="FW17" i="28"/>
  <c r="GL17" i="28"/>
  <c r="IT17" i="28"/>
  <c r="IT18" i="20"/>
  <c r="HP18" i="20"/>
  <c r="HA18" i="20"/>
  <c r="FW18" i="20"/>
  <c r="IE18" i="20"/>
  <c r="GL18" i="20"/>
  <c r="FH18" i="20"/>
  <c r="CT16" i="28"/>
  <c r="DU16" i="28"/>
  <c r="EM16" i="28" s="1"/>
  <c r="CR19" i="20"/>
  <c r="DW19" i="20"/>
  <c r="DT16" i="20"/>
  <c r="EL16" i="20" s="1"/>
  <c r="CU16" i="20"/>
  <c r="CS17" i="28"/>
  <c r="DV17" i="28"/>
  <c r="EN17" i="28" s="1"/>
  <c r="GN20" i="20"/>
  <c r="IG20" i="20"/>
  <c r="HR20" i="20"/>
  <c r="IV20" i="20"/>
  <c r="FJ20" i="20"/>
  <c r="HC20" i="20"/>
  <c r="FY20" i="20"/>
  <c r="CS18" i="20"/>
  <c r="DV18" i="20"/>
  <c r="EN18" i="20" s="1"/>
  <c r="DX19" i="28"/>
  <c r="CQ19" i="28"/>
  <c r="JT12" i="28"/>
  <c r="JU12" i="28" s="1"/>
  <c r="EN17" i="20"/>
  <c r="IV19" i="28"/>
  <c r="FJ19" i="28"/>
  <c r="FY19" i="28"/>
  <c r="IG19" i="28"/>
  <c r="GN19" i="28"/>
  <c r="HR19" i="28"/>
  <c r="HC19" i="28"/>
  <c r="CV15" i="20"/>
  <c r="CX15" i="20" s="1"/>
  <c r="CZ15" i="20" s="1"/>
  <c r="DB15" i="20" s="1"/>
  <c r="DS15" i="20"/>
  <c r="EK15" i="20" s="1"/>
  <c r="EJ12" i="28"/>
  <c r="HM14" i="28"/>
  <c r="IQ14" i="28"/>
  <c r="GI14" i="28"/>
  <c r="IB14" i="28"/>
  <c r="FT14" i="28"/>
  <c r="FE14" i="28"/>
  <c r="GX14" i="28"/>
  <c r="IB13" i="28"/>
  <c r="HX13" i="28" s="1"/>
  <c r="JR13" i="28" s="1"/>
  <c r="JS13" i="28" s="1"/>
  <c r="IQ13" i="28"/>
  <c r="IM13" i="28" s="1"/>
  <c r="GX13" i="28"/>
  <c r="GT13" i="28" s="1"/>
  <c r="JN13" i="28" s="1"/>
  <c r="JO13" i="28" s="1"/>
  <c r="FE13" i="28"/>
  <c r="FA13" i="28" s="1"/>
  <c r="JH13" i="28" s="1"/>
  <c r="JI13" i="28" s="1"/>
  <c r="GI13" i="28"/>
  <c r="HM13" i="28"/>
  <c r="HI13" i="28" s="1"/>
  <c r="JP13" i="28" s="1"/>
  <c r="JQ13" i="28" s="1"/>
  <c r="FT13" i="28"/>
  <c r="FP13" i="28" s="1"/>
  <c r="JJ13" i="28" s="1"/>
  <c r="JK13" i="28" s="1"/>
  <c r="CT17" i="20"/>
  <c r="DU17" i="20"/>
  <c r="EM17" i="20" s="1"/>
  <c r="CY12" i="28"/>
  <c r="DQ12" i="28" s="1"/>
  <c r="EI12" i="28" s="1"/>
  <c r="CZ12" i="28"/>
  <c r="DS14" i="28"/>
  <c r="EK14" i="28" s="1"/>
  <c r="CV14" i="28"/>
  <c r="IH20" i="28"/>
  <c r="FK20" i="28"/>
  <c r="IW20" i="28"/>
  <c r="HS20" i="28"/>
  <c r="FZ20" i="28"/>
  <c r="GO20" i="28"/>
  <c r="HD20" i="28"/>
  <c r="IC14" i="28"/>
  <c r="IR14" i="28"/>
  <c r="FU14" i="28"/>
  <c r="FF14" i="28"/>
  <c r="GY14" i="28"/>
  <c r="HN14" i="28"/>
  <c r="GJ14" i="28"/>
  <c r="DA11" i="20"/>
  <c r="DP11" i="20" s="1"/>
  <c r="EH11" i="20" s="1"/>
  <c r="DB11" i="20"/>
  <c r="CN22" i="28"/>
  <c r="AP23" i="28"/>
  <c r="EN16" i="28"/>
  <c r="DX20" i="20"/>
  <c r="EP20" i="20" s="1"/>
  <c r="CQ20" i="20"/>
  <c r="CX13" i="28"/>
  <c r="CW13" i="28"/>
  <c r="DR13" i="28" s="1"/>
  <c r="GM18" i="28"/>
  <c r="IU18" i="28"/>
  <c r="FI18" i="28"/>
  <c r="FX18" i="28"/>
  <c r="IF18" i="28"/>
  <c r="HB18" i="28"/>
  <c r="HQ18" i="28"/>
  <c r="DT15" i="28"/>
  <c r="EL15" i="28" s="1"/>
  <c r="CU15" i="28"/>
  <c r="FU15" i="20"/>
  <c r="FF15" i="20"/>
  <c r="IR15" i="20"/>
  <c r="IC15" i="20"/>
  <c r="GJ15" i="20"/>
  <c r="HN15" i="20"/>
  <c r="GY15" i="20"/>
  <c r="DY20" i="28"/>
  <c r="CP20" i="28"/>
  <c r="DZ21" i="28"/>
  <c r="ER21" i="28" s="1"/>
  <c r="CO21" i="28"/>
  <c r="BU34" i="28"/>
  <c r="BE35" i="28"/>
  <c r="FC129" i="28"/>
  <c r="EI13" i="20"/>
  <c r="BA17" i="28"/>
  <c r="BC16" i="28"/>
  <c r="CC15" i="28"/>
  <c r="CD15" i="28"/>
  <c r="HK15" i="28"/>
  <c r="HZ15" i="28"/>
  <c r="CB19" i="20"/>
  <c r="IP19" i="20"/>
  <c r="IA19" i="20"/>
  <c r="AY20" i="20"/>
  <c r="BW18" i="28"/>
  <c r="BV19" i="28"/>
  <c r="HZ15" i="20"/>
  <c r="HK15" i="20"/>
  <c r="GV15" i="20"/>
  <c r="CC15" i="20"/>
  <c r="CD15" i="20"/>
  <c r="CE15" i="20"/>
  <c r="FA128" i="28"/>
  <c r="JL12" i="28"/>
  <c r="JM12" i="28" s="1"/>
  <c r="JB12" i="28" s="1"/>
  <c r="GV15" i="28"/>
  <c r="CE15" i="28"/>
  <c r="CB21" i="28"/>
  <c r="IP21" i="28"/>
  <c r="AY22" i="28"/>
  <c r="BA17" i="20"/>
  <c r="BC16" i="20"/>
  <c r="DF12" i="20"/>
  <c r="DG12" i="20" s="1"/>
  <c r="DM12" i="20" s="1"/>
  <c r="DE12" i="20"/>
  <c r="DN12" i="20" s="1"/>
  <c r="BL33" i="28"/>
  <c r="BI17" i="28"/>
  <c r="BK16" i="28"/>
  <c r="BJ20" i="28"/>
  <c r="BG18" i="28"/>
  <c r="BF19" i="28"/>
  <c r="BM16" i="28"/>
  <c r="BO15" i="28"/>
  <c r="CG15" i="28" s="1"/>
  <c r="BR19" i="28"/>
  <c r="CH14" i="28"/>
  <c r="BG17" i="20"/>
  <c r="BF18" i="20"/>
  <c r="BQ17" i="28"/>
  <c r="BS16" i="28"/>
  <c r="BN18" i="28"/>
  <c r="BB19" i="28"/>
  <c r="CG14" i="28"/>
  <c r="BS21" i="20"/>
  <c r="BR22" i="20"/>
  <c r="BN19" i="20"/>
  <c r="BK19" i="20"/>
  <c r="BJ20" i="20"/>
  <c r="DF13" i="20"/>
  <c r="DG13" i="20" s="1"/>
  <c r="DM13" i="20" s="1"/>
  <c r="DE13" i="20"/>
  <c r="DN13" i="20" s="1"/>
  <c r="BY14" i="28"/>
  <c r="FC14" i="28"/>
  <c r="BB22" i="20"/>
  <c r="AZ32" i="20"/>
  <c r="IA31" i="20"/>
  <c r="GG14" i="28"/>
  <c r="BU17" i="20"/>
  <c r="BW16" i="20"/>
  <c r="BV21" i="20"/>
  <c r="AJ6" i="20"/>
  <c r="AJ8" i="20"/>
  <c r="FR14" i="28"/>
  <c r="FK136" i="35" l="1"/>
  <c r="GG17" i="35"/>
  <c r="GV17" i="35"/>
  <c r="CG17" i="35"/>
  <c r="BY17" i="35"/>
  <c r="FC17" i="35"/>
  <c r="BQ20" i="35"/>
  <c r="BS19" i="35"/>
  <c r="AF6" i="35"/>
  <c r="AF8" i="35"/>
  <c r="BK43" i="35"/>
  <c r="IA18" i="28"/>
  <c r="BK21" i="35"/>
  <c r="BJ22" i="35"/>
  <c r="IA17" i="28"/>
  <c r="BC19" i="35"/>
  <c r="CC19" i="35" s="1"/>
  <c r="BB20" i="35"/>
  <c r="HL19" i="35"/>
  <c r="IP19" i="35"/>
  <c r="FS19" i="35"/>
  <c r="FD19" i="35"/>
  <c r="BX19" i="35"/>
  <c r="AY20" i="35"/>
  <c r="GW19" i="35"/>
  <c r="CB19" i="35"/>
  <c r="GH19" i="35"/>
  <c r="IA19" i="35"/>
  <c r="HL18" i="28"/>
  <c r="HZ18" i="35"/>
  <c r="CF17" i="35"/>
  <c r="CE17" i="35"/>
  <c r="CD17" i="35"/>
  <c r="BO19" i="35"/>
  <c r="BN20" i="35"/>
  <c r="BE19" i="35"/>
  <c r="BG18" i="35"/>
  <c r="GG18" i="35" s="1"/>
  <c r="BF22" i="35"/>
  <c r="BX18" i="28"/>
  <c r="FR17" i="35"/>
  <c r="FC133" i="35" s="1"/>
  <c r="HK17" i="35"/>
  <c r="BV20" i="35"/>
  <c r="BW19" i="35"/>
  <c r="FD132" i="28"/>
  <c r="FD18" i="28"/>
  <c r="GH18" i="28"/>
  <c r="GW18" i="28"/>
  <c r="FS17" i="28"/>
  <c r="FS18" i="28"/>
  <c r="FD134" i="28" s="1"/>
  <c r="FK138" i="20"/>
  <c r="JF14" i="20"/>
  <c r="JG14" i="20" s="1"/>
  <c r="BX17" i="28"/>
  <c r="HL17" i="28"/>
  <c r="GW17" i="28"/>
  <c r="FD17" i="28"/>
  <c r="GH17" i="28"/>
  <c r="FA129" i="20"/>
  <c r="EH14" i="20"/>
  <c r="FJ136" i="20"/>
  <c r="FF131" i="20"/>
  <c r="EG13" i="20"/>
  <c r="EF13" i="20"/>
  <c r="JH13" i="20" s="1"/>
  <c r="JI13" i="20" s="1"/>
  <c r="JL14" i="20"/>
  <c r="JM14" i="20" s="1"/>
  <c r="FE131" i="20"/>
  <c r="FI135" i="20"/>
  <c r="FJ137" i="20"/>
  <c r="FH134" i="20"/>
  <c r="FJ138" i="20"/>
  <c r="FD132" i="20"/>
  <c r="FC129" i="20"/>
  <c r="FC130" i="20"/>
  <c r="FD133" i="28"/>
  <c r="FF131" i="35"/>
  <c r="FI133" i="35"/>
  <c r="BD18" i="20"/>
  <c r="GH17" i="20"/>
  <c r="HL17" i="20"/>
  <c r="GW17" i="20"/>
  <c r="BX17" i="20"/>
  <c r="FS17" i="20"/>
  <c r="FD17" i="20"/>
  <c r="GE14" i="35"/>
  <c r="JK14" i="35" s="1"/>
  <c r="JL14" i="35" s="1"/>
  <c r="HX14" i="35"/>
  <c r="JQ14" i="35" s="1"/>
  <c r="JR14" i="35" s="1"/>
  <c r="FA14" i="35"/>
  <c r="JG14" i="35" s="1"/>
  <c r="JH14" i="35" s="1"/>
  <c r="BU22" i="35"/>
  <c r="IM14" i="35"/>
  <c r="IZ14" i="35" s="1"/>
  <c r="FH133" i="35"/>
  <c r="FG132" i="35"/>
  <c r="FF130" i="35"/>
  <c r="GT14" i="35"/>
  <c r="JM14" i="35" s="1"/>
  <c r="JN14" i="35" s="1"/>
  <c r="JS13" i="35"/>
  <c r="JT13" i="35" s="1"/>
  <c r="FI134" i="35"/>
  <c r="JR14" i="20"/>
  <c r="JS14" i="20" s="1"/>
  <c r="HI14" i="35"/>
  <c r="JO14" i="35" s="1"/>
  <c r="JP14" i="35" s="1"/>
  <c r="FI19" i="35"/>
  <c r="FX19" i="35"/>
  <c r="IF19" i="35"/>
  <c r="GM19" i="35"/>
  <c r="HB19" i="35"/>
  <c r="HQ19" i="35"/>
  <c r="IU19" i="35"/>
  <c r="GL18" i="35"/>
  <c r="FW18" i="35"/>
  <c r="HP18" i="35"/>
  <c r="FH18" i="35"/>
  <c r="IT18" i="35"/>
  <c r="HA18" i="35"/>
  <c r="IE18" i="35"/>
  <c r="FA129" i="35"/>
  <c r="D52" i="34" s="1"/>
  <c r="CU16" i="35"/>
  <c r="DT16" i="35"/>
  <c r="EL16" i="35" s="1"/>
  <c r="CQ20" i="35"/>
  <c r="DX20" i="35"/>
  <c r="EP20" i="35" s="1"/>
  <c r="CP21" i="35"/>
  <c r="DY21" i="35"/>
  <c r="CS18" i="35"/>
  <c r="DV18" i="35"/>
  <c r="EN18" i="35" s="1"/>
  <c r="CR19" i="35"/>
  <c r="DW19" i="35"/>
  <c r="EO19" i="35" s="1"/>
  <c r="JI12" i="35"/>
  <c r="JJ12" i="35" s="1"/>
  <c r="JA12" i="35" s="1"/>
  <c r="FA128" i="35"/>
  <c r="D51" i="34" s="1"/>
  <c r="FK21" i="35"/>
  <c r="FZ21" i="35"/>
  <c r="IH21" i="35"/>
  <c r="GO21" i="35"/>
  <c r="HD21" i="35"/>
  <c r="HS21" i="35"/>
  <c r="IW21" i="35"/>
  <c r="CV15" i="35"/>
  <c r="DS15" i="35"/>
  <c r="EK15" i="35" s="1"/>
  <c r="EL15" i="35"/>
  <c r="EN17" i="35"/>
  <c r="DU17" i="35"/>
  <c r="EM17" i="35" s="1"/>
  <c r="CT17" i="35"/>
  <c r="DA12" i="35"/>
  <c r="DP12" i="35" s="1"/>
  <c r="EH12" i="35" s="1"/>
  <c r="DB12" i="35"/>
  <c r="DZ22" i="35"/>
  <c r="ER22" i="35" s="1"/>
  <c r="CO22" i="35"/>
  <c r="GN19" i="35"/>
  <c r="HC19" i="35"/>
  <c r="FJ19" i="35"/>
  <c r="HR19" i="35"/>
  <c r="FY19" i="35"/>
  <c r="IV19" i="35"/>
  <c r="IG19" i="35"/>
  <c r="AP24" i="35"/>
  <c r="CN23" i="35"/>
  <c r="FP14" i="35"/>
  <c r="FE130" i="35"/>
  <c r="DC11" i="35"/>
  <c r="DO11" i="35" s="1"/>
  <c r="EG11" i="35" s="1"/>
  <c r="DD11" i="35"/>
  <c r="CY13" i="35"/>
  <c r="DQ13" i="35" s="1"/>
  <c r="EI13" i="35" s="1"/>
  <c r="CZ13" i="35"/>
  <c r="CX14" i="35"/>
  <c r="CW14" i="35"/>
  <c r="DR14" i="35" s="1"/>
  <c r="EH11" i="35"/>
  <c r="GY16" i="35"/>
  <c r="IC16" i="35"/>
  <c r="FF16" i="35"/>
  <c r="GJ16" i="35"/>
  <c r="FU16" i="35"/>
  <c r="HN16" i="35"/>
  <c r="IR16" i="35"/>
  <c r="EQ20" i="35"/>
  <c r="GG15" i="20"/>
  <c r="GE15" i="20" s="1"/>
  <c r="CF15" i="20"/>
  <c r="CH15" i="20"/>
  <c r="FC15" i="20"/>
  <c r="FA15" i="20" s="1"/>
  <c r="CG15" i="20"/>
  <c r="BY15" i="20"/>
  <c r="BM17" i="20"/>
  <c r="BO16" i="20"/>
  <c r="FR16" i="20" s="1"/>
  <c r="AZ24" i="35"/>
  <c r="FK136" i="28"/>
  <c r="DC14" i="20"/>
  <c r="DO14" i="20" s="1"/>
  <c r="EG14" i="20" s="1"/>
  <c r="BR26" i="35"/>
  <c r="FH133" i="28"/>
  <c r="CO24" i="20"/>
  <c r="DZ24" i="20"/>
  <c r="AP26" i="20"/>
  <c r="CN25" i="20"/>
  <c r="IH23" i="20"/>
  <c r="FZ23" i="20"/>
  <c r="HS23" i="20"/>
  <c r="FK23" i="20"/>
  <c r="IW23" i="20"/>
  <c r="GO23" i="20"/>
  <c r="HD23" i="20"/>
  <c r="CP23" i="20"/>
  <c r="DY23" i="20"/>
  <c r="EQ23" i="20" s="1"/>
  <c r="FE130" i="28"/>
  <c r="FF130" i="28"/>
  <c r="FI134" i="28"/>
  <c r="EI14" i="20"/>
  <c r="FE129" i="28"/>
  <c r="FJ135" i="28"/>
  <c r="FF131" i="28"/>
  <c r="FP14" i="28"/>
  <c r="JJ14" i="28" s="1"/>
  <c r="JK14" i="28" s="1"/>
  <c r="HI15" i="20"/>
  <c r="JN15" i="20" s="1"/>
  <c r="JO15" i="20" s="1"/>
  <c r="CR21" i="20"/>
  <c r="DW21" i="20"/>
  <c r="EO21" i="20" s="1"/>
  <c r="DW22" i="20"/>
  <c r="EO22" i="20" s="1"/>
  <c r="CR22" i="20"/>
  <c r="GM22" i="20"/>
  <c r="FX22" i="20"/>
  <c r="IF22" i="20"/>
  <c r="HQ22" i="20"/>
  <c r="IU22" i="20"/>
  <c r="FI22" i="20"/>
  <c r="HB22" i="20"/>
  <c r="IU21" i="20"/>
  <c r="IF21" i="20"/>
  <c r="FX21" i="20"/>
  <c r="HB21" i="20"/>
  <c r="GM21" i="20"/>
  <c r="FI21" i="20"/>
  <c r="HQ21" i="20"/>
  <c r="GT14" i="28"/>
  <c r="JN14" i="28" s="1"/>
  <c r="JO14" i="28" s="1"/>
  <c r="JT13" i="28"/>
  <c r="JU13" i="28" s="1"/>
  <c r="DA15" i="20"/>
  <c r="DP15" i="20" s="1"/>
  <c r="JJ13" i="20"/>
  <c r="JK13" i="20" s="1"/>
  <c r="CW15" i="20"/>
  <c r="DR15" i="20" s="1"/>
  <c r="EJ15" i="20" s="1"/>
  <c r="HX15" i="20"/>
  <c r="JP15" i="20" s="1"/>
  <c r="JQ15" i="20" s="1"/>
  <c r="FA14" i="28"/>
  <c r="JH14" i="28" s="1"/>
  <c r="JI14" i="28" s="1"/>
  <c r="IM15" i="20"/>
  <c r="IZ15" i="20" s="1"/>
  <c r="HX14" i="28"/>
  <c r="JR14" i="28" s="1"/>
  <c r="JS14" i="28" s="1"/>
  <c r="GE13" i="28"/>
  <c r="FA129" i="28" s="1"/>
  <c r="HI14" i="28"/>
  <c r="JP14" i="28" s="1"/>
  <c r="JQ14" i="28" s="1"/>
  <c r="CY15" i="20"/>
  <c r="DQ15" i="20" s="1"/>
  <c r="GY17" i="20"/>
  <c r="FU17" i="20"/>
  <c r="FF17" i="20"/>
  <c r="GJ17" i="20"/>
  <c r="IR17" i="20"/>
  <c r="IC17" i="20"/>
  <c r="HN17" i="20"/>
  <c r="IB15" i="28"/>
  <c r="HX15" i="28" s="1"/>
  <c r="FT15" i="28"/>
  <c r="HM15" i="28"/>
  <c r="HI15" i="28" s="1"/>
  <c r="GX15" i="28"/>
  <c r="GT15" i="28" s="1"/>
  <c r="IQ15" i="28"/>
  <c r="IM15" i="28" s="1"/>
  <c r="FE15" i="28"/>
  <c r="GI15" i="28"/>
  <c r="CR20" i="20"/>
  <c r="DW20" i="20"/>
  <c r="EO20" i="20" s="1"/>
  <c r="CT18" i="20"/>
  <c r="DU18" i="20"/>
  <c r="ID17" i="28"/>
  <c r="FV17" i="28"/>
  <c r="FG17" i="28"/>
  <c r="IS17" i="28"/>
  <c r="GZ17" i="28"/>
  <c r="HO17" i="28"/>
  <c r="GK17" i="28"/>
  <c r="DT16" i="28"/>
  <c r="EL16" i="28" s="1"/>
  <c r="CU16" i="28"/>
  <c r="CQ20" i="28"/>
  <c r="DX20" i="28"/>
  <c r="EP20" i="28" s="1"/>
  <c r="IU20" i="20"/>
  <c r="FX20" i="20"/>
  <c r="IF20" i="20"/>
  <c r="HQ20" i="20"/>
  <c r="HB20" i="20"/>
  <c r="GM20" i="20"/>
  <c r="FI20" i="20"/>
  <c r="FF16" i="28"/>
  <c r="HN16" i="28"/>
  <c r="IC16" i="28"/>
  <c r="IR16" i="28"/>
  <c r="FU16" i="28"/>
  <c r="GJ16" i="28"/>
  <c r="GY16" i="28"/>
  <c r="DB12" i="28"/>
  <c r="DA12" i="28"/>
  <c r="DP12" i="28" s="1"/>
  <c r="CT17" i="28"/>
  <c r="DU17" i="28"/>
  <c r="EM17" i="28" s="1"/>
  <c r="EQ20" i="28"/>
  <c r="CV16" i="20"/>
  <c r="CX16" i="20" s="1"/>
  <c r="CZ16" i="20" s="1"/>
  <c r="DB16" i="20" s="1"/>
  <c r="DS16" i="20"/>
  <c r="EK16" i="20" s="1"/>
  <c r="CN23" i="28"/>
  <c r="AP24" i="28"/>
  <c r="HN16" i="20"/>
  <c r="IR16" i="20"/>
  <c r="IC16" i="20"/>
  <c r="GY16" i="20"/>
  <c r="FF16" i="20"/>
  <c r="FU16" i="20"/>
  <c r="GJ16" i="20"/>
  <c r="FP15" i="20"/>
  <c r="CO22" i="28"/>
  <c r="DZ22" i="28"/>
  <c r="ER22" i="28" s="1"/>
  <c r="EP19" i="28"/>
  <c r="EO19" i="20"/>
  <c r="DS15" i="28"/>
  <c r="EK15" i="28" s="1"/>
  <c r="CV15" i="28"/>
  <c r="FG16" i="28"/>
  <c r="GK16" i="28"/>
  <c r="GZ16" i="28"/>
  <c r="ID16" i="28"/>
  <c r="IS16" i="28"/>
  <c r="HO16" i="28"/>
  <c r="FV16" i="28"/>
  <c r="CX14" i="28"/>
  <c r="CW14" i="28"/>
  <c r="DR14" i="28" s="1"/>
  <c r="DW19" i="28"/>
  <c r="EO19" i="28" s="1"/>
  <c r="CR19" i="28"/>
  <c r="GT15" i="20"/>
  <c r="CP21" i="28"/>
  <c r="DY21" i="28"/>
  <c r="EQ21" i="28" s="1"/>
  <c r="DC11" i="20"/>
  <c r="DO11" i="20" s="1"/>
  <c r="EG11" i="20" s="1"/>
  <c r="DD11" i="20"/>
  <c r="DT17" i="20"/>
  <c r="EL17" i="20" s="1"/>
  <c r="CU17" i="20"/>
  <c r="DV19" i="20"/>
  <c r="EN19" i="20" s="1"/>
  <c r="CS19" i="20"/>
  <c r="DC11" i="28"/>
  <c r="DO11" i="28" s="1"/>
  <c r="EG11" i="28" s="1"/>
  <c r="DD11" i="28"/>
  <c r="FZ21" i="28"/>
  <c r="GO21" i="28"/>
  <c r="HS21" i="28"/>
  <c r="IW21" i="28"/>
  <c r="IH21" i="28"/>
  <c r="FK21" i="28"/>
  <c r="HD21" i="28"/>
  <c r="EJ13" i="28"/>
  <c r="IS17" i="20"/>
  <c r="FV17" i="20"/>
  <c r="GZ17" i="20"/>
  <c r="GK17" i="20"/>
  <c r="ID17" i="20"/>
  <c r="HO17" i="20"/>
  <c r="FG17" i="20"/>
  <c r="JA13" i="28"/>
  <c r="HP18" i="28"/>
  <c r="IE18" i="28"/>
  <c r="GL18" i="28"/>
  <c r="FW18" i="28"/>
  <c r="HA18" i="28"/>
  <c r="FH18" i="28"/>
  <c r="IT18" i="28"/>
  <c r="IM14" i="28"/>
  <c r="FE16" i="20"/>
  <c r="FT16" i="20"/>
  <c r="IQ16" i="20"/>
  <c r="IB16" i="20"/>
  <c r="GX16" i="20"/>
  <c r="GI16" i="20"/>
  <c r="HM16" i="20"/>
  <c r="CZ13" i="28"/>
  <c r="CY13" i="28"/>
  <c r="DQ13" i="28" s="1"/>
  <c r="EI13" i="28" s="1"/>
  <c r="GZ18" i="20"/>
  <c r="ID18" i="20"/>
  <c r="GK18" i="20"/>
  <c r="FV18" i="20"/>
  <c r="FG18" i="20"/>
  <c r="IS18" i="20"/>
  <c r="HO18" i="20"/>
  <c r="CS18" i="28"/>
  <c r="DV18" i="28"/>
  <c r="BE36" i="28"/>
  <c r="BU35" i="28"/>
  <c r="CC16" i="28"/>
  <c r="HK16" i="28"/>
  <c r="HZ16" i="28"/>
  <c r="CD16" i="28"/>
  <c r="BA18" i="28"/>
  <c r="BC17" i="28"/>
  <c r="FC15" i="28"/>
  <c r="CF15" i="28"/>
  <c r="EE13" i="20"/>
  <c r="EC13" i="20" s="1"/>
  <c r="HZ16" i="20"/>
  <c r="GV16" i="20"/>
  <c r="HK16" i="20"/>
  <c r="CD16" i="20"/>
  <c r="CE16" i="20"/>
  <c r="CC16" i="20"/>
  <c r="AY43" i="20"/>
  <c r="Z6" i="20"/>
  <c r="Z8" i="20"/>
  <c r="IA20" i="20"/>
  <c r="IP20" i="20"/>
  <c r="CB20" i="20"/>
  <c r="CB45" i="20" s="1"/>
  <c r="CB47" i="20" s="1"/>
  <c r="AY21" i="20"/>
  <c r="BV22" i="20"/>
  <c r="BN20" i="20"/>
  <c r="BN19" i="28"/>
  <c r="BQ18" i="28"/>
  <c r="BS17" i="28"/>
  <c r="BA18" i="20"/>
  <c r="BC17" i="20"/>
  <c r="BG18" i="20"/>
  <c r="BF19" i="20"/>
  <c r="CE16" i="28"/>
  <c r="GV16" i="28"/>
  <c r="AZ20" i="28"/>
  <c r="FD19" i="28"/>
  <c r="GH19" i="28"/>
  <c r="FS19" i="28"/>
  <c r="HL19" i="28"/>
  <c r="GW19" i="28"/>
  <c r="BX19" i="28"/>
  <c r="IA19" i="28"/>
  <c r="DC15" i="20"/>
  <c r="DO15" i="20" s="1"/>
  <c r="DD15" i="20"/>
  <c r="BM17" i="28"/>
  <c r="BO16" i="28"/>
  <c r="CH16" i="28" s="1"/>
  <c r="BI18" i="28"/>
  <c r="BK17" i="28"/>
  <c r="AZ33" i="20"/>
  <c r="IA32" i="20"/>
  <c r="FA130" i="20"/>
  <c r="BG19" i="28"/>
  <c r="BF20" i="28"/>
  <c r="CB22" i="28"/>
  <c r="IP22" i="28"/>
  <c r="AY23" i="28"/>
  <c r="BY15" i="28"/>
  <c r="BW19" i="28"/>
  <c r="BV20" i="28"/>
  <c r="BB23" i="20"/>
  <c r="BS22" i="20"/>
  <c r="BR23" i="20"/>
  <c r="BR20" i="28"/>
  <c r="FR15" i="28"/>
  <c r="CH15" i="28"/>
  <c r="BU18" i="20"/>
  <c r="BW17" i="20"/>
  <c r="BJ21" i="28"/>
  <c r="EF12" i="20"/>
  <c r="EE12" i="20"/>
  <c r="GG15" i="28"/>
  <c r="FC130" i="28"/>
  <c r="GE14" i="28"/>
  <c r="BK20" i="20"/>
  <c r="BJ21" i="20"/>
  <c r="DE14" i="20"/>
  <c r="DN14" i="20" s="1"/>
  <c r="DF14" i="20"/>
  <c r="DG14" i="20" s="1"/>
  <c r="DM14" i="20" s="1"/>
  <c r="BB20" i="28"/>
  <c r="BL34" i="28"/>
  <c r="FD135" i="35" l="1"/>
  <c r="FR18" i="35"/>
  <c r="BQ21" i="35"/>
  <c r="BS20" i="35"/>
  <c r="BK22" i="35"/>
  <c r="BJ23" i="35"/>
  <c r="FC18" i="35"/>
  <c r="BF23" i="35"/>
  <c r="CD18" i="35"/>
  <c r="CF18" i="35"/>
  <c r="CE18" i="35"/>
  <c r="CH18" i="35"/>
  <c r="GV18" i="35"/>
  <c r="BV21" i="35"/>
  <c r="BW20" i="35"/>
  <c r="BE20" i="35"/>
  <c r="BG19" i="35"/>
  <c r="CG19" i="35" s="1"/>
  <c r="BY18" i="35"/>
  <c r="HK18" i="35"/>
  <c r="BB21" i="35"/>
  <c r="BC20" i="35"/>
  <c r="CC20" i="35" s="1"/>
  <c r="CC45" i="35" s="1"/>
  <c r="CC47" i="35" s="1"/>
  <c r="IP20" i="35"/>
  <c r="FD20" i="35"/>
  <c r="IA20" i="35"/>
  <c r="Z8" i="35"/>
  <c r="FS20" i="35"/>
  <c r="Z6" i="35"/>
  <c r="BX20" i="35"/>
  <c r="GW20" i="35"/>
  <c r="AY21" i="35"/>
  <c r="GH20" i="35"/>
  <c r="HL20" i="35"/>
  <c r="CB20" i="35"/>
  <c r="CB45" i="35" s="1"/>
  <c r="CB47" i="35" s="1"/>
  <c r="AY43" i="35"/>
  <c r="BO20" i="35"/>
  <c r="BN21" i="35"/>
  <c r="CG18" i="35"/>
  <c r="HZ19" i="35"/>
  <c r="JA13" i="20"/>
  <c r="JF15" i="20"/>
  <c r="JG15" i="20" s="1"/>
  <c r="FI136" i="20"/>
  <c r="JL15" i="20"/>
  <c r="JM15" i="20" s="1"/>
  <c r="FI138" i="20"/>
  <c r="FK139" i="20"/>
  <c r="FE132" i="20"/>
  <c r="FF132" i="20"/>
  <c r="JH14" i="20"/>
  <c r="JI14" i="20" s="1"/>
  <c r="FD133" i="20"/>
  <c r="FK137" i="35"/>
  <c r="FG133" i="20"/>
  <c r="FI137" i="20"/>
  <c r="FG134" i="20"/>
  <c r="FF133" i="20"/>
  <c r="FJ135" i="35"/>
  <c r="BD19" i="20"/>
  <c r="HL18" i="20"/>
  <c r="BX18" i="20"/>
  <c r="GH18" i="20"/>
  <c r="FD18" i="20"/>
  <c r="FS18" i="20"/>
  <c r="GW18" i="20"/>
  <c r="FC131" i="20"/>
  <c r="BY16" i="20"/>
  <c r="BU23" i="35"/>
  <c r="JS14" i="35"/>
  <c r="JT14" i="35" s="1"/>
  <c r="FI135" i="35"/>
  <c r="CF16" i="20"/>
  <c r="FH134" i="35"/>
  <c r="FF132" i="35"/>
  <c r="JI13" i="35"/>
  <c r="JJ13" i="35" s="1"/>
  <c r="JA13" i="35" s="1"/>
  <c r="GJ17" i="35"/>
  <c r="IR17" i="35"/>
  <c r="FF17" i="35"/>
  <c r="HN17" i="35"/>
  <c r="FU17" i="35"/>
  <c r="GY17" i="35"/>
  <c r="IC17" i="35"/>
  <c r="CO23" i="35"/>
  <c r="DZ23" i="35"/>
  <c r="ER23" i="35" s="1"/>
  <c r="FG17" i="35"/>
  <c r="FV17" i="35"/>
  <c r="GZ17" i="35"/>
  <c r="GK17" i="35"/>
  <c r="HO17" i="35"/>
  <c r="IS17" i="35"/>
  <c r="ID17" i="35"/>
  <c r="HO18" i="35"/>
  <c r="FV18" i="35"/>
  <c r="GZ18" i="35"/>
  <c r="IS18" i="35"/>
  <c r="GK18" i="35"/>
  <c r="ID18" i="35"/>
  <c r="FG18" i="35"/>
  <c r="AP25" i="35"/>
  <c r="CN24" i="35"/>
  <c r="CP22" i="35"/>
  <c r="DY22" i="35"/>
  <c r="EQ22" i="35" s="1"/>
  <c r="DU18" i="35"/>
  <c r="CT18" i="35"/>
  <c r="DB13" i="35"/>
  <c r="DA13" i="35"/>
  <c r="DP13" i="35" s="1"/>
  <c r="EH13" i="35" s="1"/>
  <c r="GO22" i="35"/>
  <c r="HD22" i="35"/>
  <c r="IW22" i="35"/>
  <c r="FK22" i="35"/>
  <c r="FZ22" i="35"/>
  <c r="IH22" i="35"/>
  <c r="HS22" i="35"/>
  <c r="IQ15" i="35"/>
  <c r="IM15" i="35" s="1"/>
  <c r="FE15" i="35"/>
  <c r="FA15" i="35" s="1"/>
  <c r="JG15" i="35" s="1"/>
  <c r="JH15" i="35" s="1"/>
  <c r="HM15" i="35"/>
  <c r="HI15" i="35" s="1"/>
  <c r="JO15" i="35" s="1"/>
  <c r="JP15" i="35" s="1"/>
  <c r="FT15" i="35"/>
  <c r="GX15" i="35"/>
  <c r="GT15" i="35" s="1"/>
  <c r="JM15" i="35" s="1"/>
  <c r="JN15" i="35" s="1"/>
  <c r="GI15" i="35"/>
  <c r="GE15" i="35" s="1"/>
  <c r="JK15" i="35" s="1"/>
  <c r="JL15" i="35" s="1"/>
  <c r="IB15" i="35"/>
  <c r="HX15" i="35" s="1"/>
  <c r="JQ15" i="35" s="1"/>
  <c r="JR15" i="35" s="1"/>
  <c r="EQ21" i="35"/>
  <c r="IF20" i="35"/>
  <c r="HQ20" i="35"/>
  <c r="IU20" i="35"/>
  <c r="FI20" i="35"/>
  <c r="HB20" i="35"/>
  <c r="FX20" i="35"/>
  <c r="GM20" i="35"/>
  <c r="DC12" i="35"/>
  <c r="DO12" i="35" s="1"/>
  <c r="DD12" i="35"/>
  <c r="DX21" i="35"/>
  <c r="EP21" i="35" s="1"/>
  <c r="CQ21" i="35"/>
  <c r="GN20" i="35"/>
  <c r="IG20" i="35"/>
  <c r="HR20" i="35"/>
  <c r="HC20" i="35"/>
  <c r="FJ20" i="35"/>
  <c r="IV20" i="35"/>
  <c r="FY20" i="35"/>
  <c r="DF11" i="35"/>
  <c r="DG11" i="35" s="1"/>
  <c r="DM11" i="35" s="1"/>
  <c r="DE11" i="35"/>
  <c r="DN11" i="35" s="1"/>
  <c r="CX15" i="35"/>
  <c r="CW15" i="35"/>
  <c r="DR15" i="35" s="1"/>
  <c r="EJ15" i="35" s="1"/>
  <c r="DT17" i="35"/>
  <c r="EL17" i="35" s="1"/>
  <c r="CU17" i="35"/>
  <c r="CR20" i="35"/>
  <c r="DW20" i="35"/>
  <c r="EO20" i="35" s="1"/>
  <c r="EJ14" i="35"/>
  <c r="HP19" i="35"/>
  <c r="IT19" i="35"/>
  <c r="FW19" i="35"/>
  <c r="FH19" i="35"/>
  <c r="HA19" i="35"/>
  <c r="IE19" i="35"/>
  <c r="GL19" i="35"/>
  <c r="HM16" i="35"/>
  <c r="HI16" i="35" s="1"/>
  <c r="GX16" i="35"/>
  <c r="GT16" i="35" s="1"/>
  <c r="IB16" i="35"/>
  <c r="HX16" i="35" s="1"/>
  <c r="GI16" i="35"/>
  <c r="GE16" i="35" s="1"/>
  <c r="IQ16" i="35"/>
  <c r="IM16" i="35" s="1"/>
  <c r="FE16" i="35"/>
  <c r="FA16" i="35" s="1"/>
  <c r="FT16" i="35"/>
  <c r="CY14" i="35"/>
  <c r="DQ14" i="35" s="1"/>
  <c r="EI14" i="35" s="1"/>
  <c r="CZ14" i="35"/>
  <c r="FA130" i="35"/>
  <c r="D53" i="34" s="1"/>
  <c r="DV19" i="35"/>
  <c r="CS19" i="35"/>
  <c r="DS16" i="35"/>
  <c r="EK16" i="35" s="1"/>
  <c r="CV16" i="35"/>
  <c r="FP16" i="20"/>
  <c r="FC16" i="20"/>
  <c r="FA16" i="20" s="1"/>
  <c r="JF16" i="20" s="1"/>
  <c r="JG16" i="20" s="1"/>
  <c r="GG16" i="20"/>
  <c r="GE16" i="20" s="1"/>
  <c r="CG16" i="20"/>
  <c r="CH16" i="20"/>
  <c r="IM16" i="20"/>
  <c r="IZ16" i="20" s="1"/>
  <c r="BM18" i="20"/>
  <c r="BO17" i="20"/>
  <c r="FR17" i="20" s="1"/>
  <c r="AZ25" i="35"/>
  <c r="AE10" i="28"/>
  <c r="AC10" i="28"/>
  <c r="BR27" i="35"/>
  <c r="CW16" i="20"/>
  <c r="DR16" i="20" s="1"/>
  <c r="EJ16" i="20" s="1"/>
  <c r="FK137" i="28"/>
  <c r="GN23" i="20"/>
  <c r="HC23" i="20"/>
  <c r="FY23" i="20"/>
  <c r="FJ23" i="20"/>
  <c r="IG23" i="20"/>
  <c r="HR23" i="20"/>
  <c r="IV23" i="20"/>
  <c r="CQ23" i="20"/>
  <c r="DX23" i="20"/>
  <c r="CO25" i="20"/>
  <c r="DZ25" i="20"/>
  <c r="AP27" i="20"/>
  <c r="CN26" i="20"/>
  <c r="ER24" i="20"/>
  <c r="CP24" i="20"/>
  <c r="DY24" i="20"/>
  <c r="EQ24" i="20" s="1"/>
  <c r="EH15" i="20"/>
  <c r="FD135" i="28"/>
  <c r="FE131" i="28"/>
  <c r="FG132" i="28"/>
  <c r="FH134" i="28"/>
  <c r="FF132" i="28"/>
  <c r="FG133" i="28"/>
  <c r="JT14" i="28"/>
  <c r="JU14" i="28" s="1"/>
  <c r="JR15" i="28"/>
  <c r="JS15" i="28" s="1"/>
  <c r="CS22" i="20"/>
  <c r="DV22" i="20"/>
  <c r="FW22" i="20"/>
  <c r="FH22" i="20"/>
  <c r="IT22" i="20"/>
  <c r="IE22" i="20"/>
  <c r="HP22" i="20"/>
  <c r="HA22" i="20"/>
  <c r="GL22" i="20"/>
  <c r="HP21" i="20"/>
  <c r="IE21" i="20"/>
  <c r="GL21" i="20"/>
  <c r="FH21" i="20"/>
  <c r="HA21" i="20"/>
  <c r="FW21" i="20"/>
  <c r="IT21" i="20"/>
  <c r="CS21" i="20"/>
  <c r="DV21" i="20"/>
  <c r="EN21" i="20" s="1"/>
  <c r="JL13" i="28"/>
  <c r="JM13" i="28" s="1"/>
  <c r="JB13" i="28" s="1"/>
  <c r="JR15" i="20"/>
  <c r="JS15" i="20" s="1"/>
  <c r="GT16" i="20"/>
  <c r="DA16" i="20"/>
  <c r="DP16" i="20" s="1"/>
  <c r="EI15" i="20"/>
  <c r="JJ14" i="20"/>
  <c r="JK14" i="20" s="1"/>
  <c r="JP15" i="28"/>
  <c r="JQ15" i="28" s="1"/>
  <c r="HI16" i="20"/>
  <c r="JN16" i="20" s="1"/>
  <c r="JO16" i="20" s="1"/>
  <c r="JN15" i="28"/>
  <c r="JO15" i="28" s="1"/>
  <c r="FP15" i="28"/>
  <c r="JJ15" i="28" s="1"/>
  <c r="JK15" i="28" s="1"/>
  <c r="IE19" i="28"/>
  <c r="HP19" i="28"/>
  <c r="IT19" i="28"/>
  <c r="FW19" i="28"/>
  <c r="GL19" i="28"/>
  <c r="FH19" i="28"/>
  <c r="HA19" i="28"/>
  <c r="IS19" i="20"/>
  <c r="HO19" i="20"/>
  <c r="GZ19" i="20"/>
  <c r="FV19" i="20"/>
  <c r="FG19" i="20"/>
  <c r="ID19" i="20"/>
  <c r="GK19" i="20"/>
  <c r="EJ14" i="28"/>
  <c r="HQ19" i="28"/>
  <c r="HB19" i="28"/>
  <c r="IF19" i="28"/>
  <c r="IU19" i="28"/>
  <c r="FX19" i="28"/>
  <c r="GM19" i="28"/>
  <c r="FI19" i="28"/>
  <c r="GI16" i="28"/>
  <c r="FT16" i="28"/>
  <c r="IB16" i="28"/>
  <c r="HX16" i="28" s="1"/>
  <c r="IQ16" i="28"/>
  <c r="IM16" i="28" s="1"/>
  <c r="HM16" i="28"/>
  <c r="HI16" i="28" s="1"/>
  <c r="FE16" i="28"/>
  <c r="GX16" i="28"/>
  <c r="GT16" i="28" s="1"/>
  <c r="FE17" i="20"/>
  <c r="GI17" i="20"/>
  <c r="HM17" i="20"/>
  <c r="IQ17" i="20"/>
  <c r="IM17" i="20" s="1"/>
  <c r="IB17" i="20"/>
  <c r="FT17" i="20"/>
  <c r="GX17" i="20"/>
  <c r="DF11" i="20"/>
  <c r="DG11" i="20" s="1"/>
  <c r="DM11" i="20" s="1"/>
  <c r="DE11" i="20"/>
  <c r="DN11" i="20" s="1"/>
  <c r="DV19" i="28"/>
  <c r="EN19" i="28" s="1"/>
  <c r="CS19" i="28"/>
  <c r="HA19" i="20"/>
  <c r="HP19" i="20"/>
  <c r="GL19" i="20"/>
  <c r="FH19" i="20"/>
  <c r="IT19" i="20"/>
  <c r="FW19" i="20"/>
  <c r="IE19" i="20"/>
  <c r="IU20" i="28"/>
  <c r="FX20" i="28"/>
  <c r="GM20" i="28"/>
  <c r="HB20" i="28"/>
  <c r="HQ20" i="28"/>
  <c r="IF20" i="28"/>
  <c r="FI20" i="28"/>
  <c r="HR20" i="28"/>
  <c r="FY20" i="28"/>
  <c r="IG20" i="28"/>
  <c r="IV20" i="28"/>
  <c r="FJ20" i="28"/>
  <c r="HC20" i="28"/>
  <c r="GN20" i="28"/>
  <c r="DS16" i="28"/>
  <c r="EK16" i="28" s="1"/>
  <c r="CV16" i="28"/>
  <c r="EN18" i="28"/>
  <c r="DB13" i="28"/>
  <c r="DA13" i="28"/>
  <c r="DP13" i="28" s="1"/>
  <c r="FY21" i="28"/>
  <c r="IG21" i="28"/>
  <c r="IV21" i="28"/>
  <c r="HR21" i="28"/>
  <c r="FJ21" i="28"/>
  <c r="GN21" i="28"/>
  <c r="HC21" i="28"/>
  <c r="CZ14" i="28"/>
  <c r="CY14" i="28"/>
  <c r="DQ14" i="28" s="1"/>
  <c r="HS22" i="28"/>
  <c r="IH22" i="28"/>
  <c r="GO22" i="28"/>
  <c r="FZ22" i="28"/>
  <c r="IW22" i="28"/>
  <c r="HD22" i="28"/>
  <c r="FK22" i="28"/>
  <c r="DT17" i="28"/>
  <c r="EL17" i="28" s="1"/>
  <c r="CU17" i="28"/>
  <c r="DT18" i="20"/>
  <c r="EL18" i="20" s="1"/>
  <c r="CU18" i="20"/>
  <c r="IR17" i="28"/>
  <c r="GJ17" i="28"/>
  <c r="GY17" i="28"/>
  <c r="FF17" i="28"/>
  <c r="FU17" i="28"/>
  <c r="HN17" i="28"/>
  <c r="IC17" i="28"/>
  <c r="DU18" i="28"/>
  <c r="EM18" i="28" s="1"/>
  <c r="CT18" i="28"/>
  <c r="DF11" i="28"/>
  <c r="DG11" i="28" s="1"/>
  <c r="DM11" i="28" s="1"/>
  <c r="DE11" i="28"/>
  <c r="DN11" i="28" s="1"/>
  <c r="CQ21" i="28"/>
  <c r="DX21" i="28"/>
  <c r="EP21" i="28" s="1"/>
  <c r="CP22" i="28"/>
  <c r="DY22" i="28"/>
  <c r="EQ22" i="28" s="1"/>
  <c r="HX16" i="20"/>
  <c r="JP16" i="20" s="1"/>
  <c r="JQ16" i="20" s="1"/>
  <c r="CT19" i="20"/>
  <c r="DU19" i="20"/>
  <c r="EM19" i="20" s="1"/>
  <c r="CX15" i="28"/>
  <c r="CW15" i="28"/>
  <c r="DR15" i="28" s="1"/>
  <c r="CN24" i="28"/>
  <c r="AP25" i="28"/>
  <c r="IE20" i="20"/>
  <c r="HP20" i="20"/>
  <c r="HA20" i="20"/>
  <c r="FH20" i="20"/>
  <c r="FW20" i="20"/>
  <c r="IT20" i="20"/>
  <c r="GL20" i="20"/>
  <c r="JA14" i="28"/>
  <c r="JA15" i="28" s="1"/>
  <c r="CO23" i="28"/>
  <c r="DZ23" i="28"/>
  <c r="ER23" i="28" s="1"/>
  <c r="EH12" i="28"/>
  <c r="CS20" i="20"/>
  <c r="DV20" i="20"/>
  <c r="EN20" i="20" s="1"/>
  <c r="EM18" i="20"/>
  <c r="FA15" i="28"/>
  <c r="JH15" i="28" s="1"/>
  <c r="JI15" i="28" s="1"/>
  <c r="CV17" i="20"/>
  <c r="CX17" i="20" s="1"/>
  <c r="CZ17" i="20" s="1"/>
  <c r="DB17" i="20" s="1"/>
  <c r="DS17" i="20"/>
  <c r="EK17" i="20" s="1"/>
  <c r="CY16" i="20"/>
  <c r="DQ16" i="20" s="1"/>
  <c r="DD12" i="28"/>
  <c r="DC12" i="28"/>
  <c r="DO12" i="28" s="1"/>
  <c r="EG12" i="28" s="1"/>
  <c r="CR20" i="28"/>
  <c r="DW20" i="28"/>
  <c r="EO20" i="28" s="1"/>
  <c r="BU36" i="28"/>
  <c r="BE37" i="28"/>
  <c r="EC12" i="20"/>
  <c r="CD17" i="28"/>
  <c r="CC17" i="28"/>
  <c r="HK17" i="28"/>
  <c r="HZ17" i="28"/>
  <c r="BA19" i="28"/>
  <c r="BC18" i="28"/>
  <c r="BB21" i="28"/>
  <c r="EF14" i="20"/>
  <c r="EE14" i="20"/>
  <c r="BU19" i="20"/>
  <c r="BW18" i="20"/>
  <c r="CE17" i="28"/>
  <c r="GV17" i="28"/>
  <c r="AA6" i="28"/>
  <c r="AZ21" i="28"/>
  <c r="GW20" i="28"/>
  <c r="BX20" i="28"/>
  <c r="FD20" i="28"/>
  <c r="AZ43" i="28"/>
  <c r="HL20" i="28"/>
  <c r="GH20" i="28"/>
  <c r="FS20" i="28"/>
  <c r="IA20" i="28"/>
  <c r="CG16" i="28"/>
  <c r="BK21" i="20"/>
  <c r="BJ22" i="20"/>
  <c r="BB24" i="20"/>
  <c r="BI19" i="28"/>
  <c r="BK18" i="28"/>
  <c r="GG16" i="28"/>
  <c r="CF16" i="28"/>
  <c r="BJ22" i="28"/>
  <c r="BW20" i="28"/>
  <c r="BV21" i="28"/>
  <c r="DC16" i="20"/>
  <c r="DO16" i="20" s="1"/>
  <c r="DD16" i="20"/>
  <c r="BQ19" i="28"/>
  <c r="BS18" i="28"/>
  <c r="FC131" i="28"/>
  <c r="GE15" i="28"/>
  <c r="BR21" i="28"/>
  <c r="BG20" i="28"/>
  <c r="BF21" i="28"/>
  <c r="AZ34" i="20"/>
  <c r="IA33" i="20"/>
  <c r="FC16" i="28"/>
  <c r="HZ17" i="20"/>
  <c r="HK17" i="20"/>
  <c r="GV17" i="20"/>
  <c r="CE17" i="20"/>
  <c r="CD17" i="20"/>
  <c r="CC17" i="20"/>
  <c r="BN20" i="28"/>
  <c r="BM18" i="28"/>
  <c r="BO17" i="28"/>
  <c r="CG17" i="28" s="1"/>
  <c r="BG19" i="20"/>
  <c r="BF20" i="20"/>
  <c r="AD10" i="28"/>
  <c r="BA19" i="20"/>
  <c r="BC18" i="20"/>
  <c r="IP21" i="20"/>
  <c r="IA21" i="20"/>
  <c r="CB21" i="20"/>
  <c r="AY22" i="20"/>
  <c r="FA130" i="28"/>
  <c r="DF15" i="20"/>
  <c r="DG15" i="20" s="1"/>
  <c r="DM15" i="20" s="1"/>
  <c r="DE15" i="20"/>
  <c r="DN15" i="20" s="1"/>
  <c r="EF15" i="20" s="1"/>
  <c r="BY16" i="28"/>
  <c r="BN21" i="20"/>
  <c r="FA131" i="20"/>
  <c r="BS23" i="20"/>
  <c r="BR24" i="20"/>
  <c r="FR16" i="28"/>
  <c r="EG15" i="20"/>
  <c r="BK43" i="20"/>
  <c r="AF6" i="20"/>
  <c r="AF8" i="20"/>
  <c r="AL10" i="28"/>
  <c r="BL35" i="28"/>
  <c r="CB23" i="28"/>
  <c r="IP23" i="28"/>
  <c r="AY24" i="28"/>
  <c r="BV23" i="20"/>
  <c r="CB43" i="20"/>
  <c r="CC43" i="20"/>
  <c r="GG19" i="35" l="1"/>
  <c r="GV19" i="35"/>
  <c r="HK19" i="35"/>
  <c r="FD136" i="35"/>
  <c r="JL16" i="20"/>
  <c r="JM16" i="20" s="1"/>
  <c r="BY19" i="35"/>
  <c r="FR19" i="35"/>
  <c r="FC135" i="35" s="1"/>
  <c r="CH19" i="35"/>
  <c r="FC134" i="35"/>
  <c r="FC19" i="35"/>
  <c r="AJ6" i="35"/>
  <c r="AJ8" i="35"/>
  <c r="BS43" i="35"/>
  <c r="BQ22" i="35"/>
  <c r="BS21" i="35"/>
  <c r="CC43" i="35"/>
  <c r="CB43" i="35"/>
  <c r="AL8" i="35"/>
  <c r="AL6" i="35"/>
  <c r="BW43" i="35"/>
  <c r="BE21" i="35"/>
  <c r="BG20" i="35"/>
  <c r="BY20" i="35" s="1"/>
  <c r="FS21" i="35"/>
  <c r="CB21" i="35"/>
  <c r="IP21" i="35"/>
  <c r="IA21" i="35"/>
  <c r="FD21" i="35"/>
  <c r="HL21" i="35"/>
  <c r="AY22" i="35"/>
  <c r="GW21" i="35"/>
  <c r="GH21" i="35"/>
  <c r="BX21" i="35"/>
  <c r="BV22" i="35"/>
  <c r="BW21" i="35"/>
  <c r="BF24" i="35"/>
  <c r="HZ20" i="35"/>
  <c r="AB8" i="35"/>
  <c r="AB6" i="35"/>
  <c r="BC43" i="35"/>
  <c r="CD43" i="35" s="1"/>
  <c r="FR20" i="35"/>
  <c r="AH6" i="35"/>
  <c r="AH8" i="35"/>
  <c r="X8" i="35"/>
  <c r="AM6" i="35"/>
  <c r="X6" i="35"/>
  <c r="BC21" i="35"/>
  <c r="BB22" i="35"/>
  <c r="BK23" i="35"/>
  <c r="BJ24" i="35"/>
  <c r="BO43" i="35"/>
  <c r="BN22" i="35"/>
  <c r="BO21" i="35"/>
  <c r="CE19" i="35"/>
  <c r="CF19" i="35"/>
  <c r="CD19" i="35"/>
  <c r="BG43" i="35"/>
  <c r="JO16" i="35"/>
  <c r="JP16" i="35" s="1"/>
  <c r="JH15" i="20"/>
  <c r="JI15" i="20" s="1"/>
  <c r="JA14" i="20"/>
  <c r="FJ139" i="20"/>
  <c r="FI136" i="35"/>
  <c r="FH138" i="20"/>
  <c r="FD134" i="20"/>
  <c r="FH137" i="20"/>
  <c r="FE133" i="20"/>
  <c r="FH136" i="20"/>
  <c r="FH135" i="20"/>
  <c r="FG135" i="20"/>
  <c r="FK138" i="35"/>
  <c r="FC132" i="20"/>
  <c r="FG134" i="35"/>
  <c r="BD20" i="20"/>
  <c r="GH19" i="20"/>
  <c r="FD19" i="20"/>
  <c r="HL19" i="20"/>
  <c r="BX19" i="20"/>
  <c r="GW19" i="20"/>
  <c r="FS19" i="20"/>
  <c r="JM16" i="35"/>
  <c r="JN16" i="35" s="1"/>
  <c r="JS15" i="35"/>
  <c r="JT15" i="35" s="1"/>
  <c r="BU24" i="35"/>
  <c r="JQ16" i="35"/>
  <c r="JR16" i="35" s="1"/>
  <c r="JG16" i="35"/>
  <c r="JH16" i="35" s="1"/>
  <c r="JI14" i="35"/>
  <c r="JJ14" i="35" s="1"/>
  <c r="JA14" i="35" s="1"/>
  <c r="FG133" i="35"/>
  <c r="FH135" i="35"/>
  <c r="JK16" i="35"/>
  <c r="JL16" i="35" s="1"/>
  <c r="FF133" i="35"/>
  <c r="FJ136" i="35"/>
  <c r="DU19" i="35"/>
  <c r="EM19" i="35" s="1"/>
  <c r="CT19" i="35"/>
  <c r="CV17" i="35"/>
  <c r="DS17" i="35"/>
  <c r="EK17" i="35" s="1"/>
  <c r="EG12" i="35"/>
  <c r="GM21" i="35"/>
  <c r="FI21" i="35"/>
  <c r="HQ21" i="35"/>
  <c r="FX21" i="35"/>
  <c r="IU21" i="35"/>
  <c r="IF21" i="35"/>
  <c r="HB21" i="35"/>
  <c r="IZ15" i="35"/>
  <c r="IZ16" i="35" s="1"/>
  <c r="DY23" i="35"/>
  <c r="EQ23" i="35" s="1"/>
  <c r="CP23" i="35"/>
  <c r="EN19" i="35"/>
  <c r="HM17" i="35"/>
  <c r="HI17" i="35" s="1"/>
  <c r="FT17" i="35"/>
  <c r="IQ17" i="35"/>
  <c r="IM17" i="35" s="1"/>
  <c r="GX17" i="35"/>
  <c r="GT17" i="35" s="1"/>
  <c r="IB17" i="35"/>
  <c r="HX17" i="35" s="1"/>
  <c r="GI17" i="35"/>
  <c r="GE17" i="35" s="1"/>
  <c r="FE17" i="35"/>
  <c r="FA17" i="35" s="1"/>
  <c r="IG21" i="35"/>
  <c r="GN21" i="35"/>
  <c r="FJ21" i="35"/>
  <c r="HC21" i="35"/>
  <c r="FY21" i="35"/>
  <c r="HR21" i="35"/>
  <c r="IV21" i="35"/>
  <c r="DC13" i="35"/>
  <c r="DO13" i="35" s="1"/>
  <c r="DD13" i="35"/>
  <c r="CU18" i="35"/>
  <c r="DT18" i="35"/>
  <c r="EL18" i="35" s="1"/>
  <c r="CZ15" i="35"/>
  <c r="CY15" i="35"/>
  <c r="DQ15" i="35" s="1"/>
  <c r="EM18" i="35"/>
  <c r="DA14" i="35"/>
  <c r="DP14" i="35" s="1"/>
  <c r="EH14" i="35" s="1"/>
  <c r="DB14" i="35"/>
  <c r="EF11" i="35"/>
  <c r="EE11" i="35"/>
  <c r="IG22" i="35"/>
  <c r="IV22" i="35"/>
  <c r="GN22" i="35"/>
  <c r="FJ22" i="35"/>
  <c r="HC22" i="35"/>
  <c r="FY22" i="35"/>
  <c r="HR22" i="35"/>
  <c r="CR21" i="35"/>
  <c r="DW21" i="35"/>
  <c r="FP15" i="35"/>
  <c r="FE131" i="35"/>
  <c r="CQ22" i="35"/>
  <c r="DX22" i="35"/>
  <c r="EP22" i="35" s="1"/>
  <c r="CW16" i="35"/>
  <c r="DR16" i="35" s="1"/>
  <c r="EJ16" i="35" s="1"/>
  <c r="CX16" i="35"/>
  <c r="FP16" i="35"/>
  <c r="FE132" i="35"/>
  <c r="FW20" i="35"/>
  <c r="GL20" i="35"/>
  <c r="HP20" i="35"/>
  <c r="IT20" i="35"/>
  <c r="HA20" i="35"/>
  <c r="IE20" i="35"/>
  <c r="FH20" i="35"/>
  <c r="DZ24" i="35"/>
  <c r="ER24" i="35" s="1"/>
  <c r="CO24" i="35"/>
  <c r="CS20" i="35"/>
  <c r="DV20" i="35"/>
  <c r="EN20" i="35" s="1"/>
  <c r="DE12" i="35"/>
  <c r="DN12" i="35" s="1"/>
  <c r="EF12" i="35" s="1"/>
  <c r="DF12" i="35"/>
  <c r="DG12" i="35" s="1"/>
  <c r="DM12" i="35" s="1"/>
  <c r="AP26" i="35"/>
  <c r="CN25" i="35"/>
  <c r="IW23" i="35"/>
  <c r="HS23" i="35"/>
  <c r="IH23" i="35"/>
  <c r="FZ23" i="35"/>
  <c r="GO23" i="35"/>
  <c r="FK23" i="35"/>
  <c r="HD23" i="35"/>
  <c r="EI16" i="20"/>
  <c r="FJ136" i="28"/>
  <c r="CH17" i="20"/>
  <c r="FC17" i="20"/>
  <c r="FA17" i="20" s="1"/>
  <c r="JF17" i="20" s="1"/>
  <c r="JG17" i="20" s="1"/>
  <c r="GG17" i="20"/>
  <c r="CG17" i="20"/>
  <c r="BY17" i="20"/>
  <c r="CF17" i="20"/>
  <c r="BM19" i="20"/>
  <c r="BO18" i="20"/>
  <c r="GG18" i="20" s="1"/>
  <c r="AZ26" i="35"/>
  <c r="FI136" i="28"/>
  <c r="JR16" i="28"/>
  <c r="JS16" i="28" s="1"/>
  <c r="BR28" i="35"/>
  <c r="FI135" i="28"/>
  <c r="FH135" i="28"/>
  <c r="GN24" i="20"/>
  <c r="IG24" i="20"/>
  <c r="FJ24" i="20"/>
  <c r="IV24" i="20"/>
  <c r="HC24" i="20"/>
  <c r="HR24" i="20"/>
  <c r="FY24" i="20"/>
  <c r="DW23" i="20"/>
  <c r="EO23" i="20" s="1"/>
  <c r="CR23" i="20"/>
  <c r="IH24" i="20"/>
  <c r="HD24" i="20"/>
  <c r="HS24" i="20"/>
  <c r="IW24" i="20"/>
  <c r="FK24" i="20"/>
  <c r="GO24" i="20"/>
  <c r="FZ24" i="20"/>
  <c r="CO26" i="20"/>
  <c r="DZ26" i="20"/>
  <c r="ER26" i="20" s="1"/>
  <c r="AP28" i="20"/>
  <c r="CN27" i="20"/>
  <c r="ER25" i="20"/>
  <c r="CP25" i="20"/>
  <c r="DY25" i="20"/>
  <c r="EQ25" i="20" s="1"/>
  <c r="DX24" i="20"/>
  <c r="EP24" i="20" s="1"/>
  <c r="CQ24" i="20"/>
  <c r="EP23" i="20"/>
  <c r="JR16" i="20"/>
  <c r="JS16" i="20" s="1"/>
  <c r="FF133" i="28"/>
  <c r="FJ137" i="28"/>
  <c r="JT15" i="28"/>
  <c r="JU15" i="28" s="1"/>
  <c r="FK138" i="28"/>
  <c r="FE132" i="28"/>
  <c r="JL14" i="28"/>
  <c r="JM14" i="28" s="1"/>
  <c r="JB14" i="28" s="1"/>
  <c r="JN16" i="28"/>
  <c r="JO16" i="28" s="1"/>
  <c r="FG21" i="20"/>
  <c r="FV21" i="20"/>
  <c r="IS21" i="20"/>
  <c r="GZ21" i="20"/>
  <c r="ID21" i="20"/>
  <c r="HO21" i="20"/>
  <c r="GK21" i="20"/>
  <c r="EN22" i="20"/>
  <c r="CT21" i="20"/>
  <c r="DU21" i="20"/>
  <c r="DU22" i="20"/>
  <c r="CT22" i="20"/>
  <c r="DT22" i="20" s="1"/>
  <c r="JP16" i="28"/>
  <c r="JQ16" i="28" s="1"/>
  <c r="JJ15" i="20"/>
  <c r="JK15" i="20" s="1"/>
  <c r="JA15" i="20" s="1"/>
  <c r="EG16" i="20"/>
  <c r="FP16" i="28"/>
  <c r="JJ16" i="28" s="1"/>
  <c r="JK16" i="28" s="1"/>
  <c r="EH16" i="20"/>
  <c r="HI17" i="20"/>
  <c r="JN17" i="20" s="1"/>
  <c r="JO17" i="20" s="1"/>
  <c r="GT17" i="20"/>
  <c r="JL17" i="20" s="1"/>
  <c r="JM17" i="20" s="1"/>
  <c r="DF12" i="28"/>
  <c r="DG12" i="28" s="1"/>
  <c r="DM12" i="28" s="1"/>
  <c r="DE12" i="28"/>
  <c r="DN12" i="28" s="1"/>
  <c r="HO20" i="20"/>
  <c r="GK20" i="20"/>
  <c r="FV20" i="20"/>
  <c r="ID20" i="20"/>
  <c r="FG20" i="20"/>
  <c r="IS20" i="20"/>
  <c r="GZ20" i="20"/>
  <c r="DZ24" i="28"/>
  <c r="ER24" i="28" s="1"/>
  <c r="CO24" i="28"/>
  <c r="CV18" i="20"/>
  <c r="CX18" i="20" s="1"/>
  <c r="CZ18" i="20" s="1"/>
  <c r="DB18" i="20" s="1"/>
  <c r="DS18" i="20"/>
  <c r="EK18" i="20" s="1"/>
  <c r="FU18" i="28"/>
  <c r="FF18" i="28"/>
  <c r="GJ18" i="28"/>
  <c r="HN18" i="28"/>
  <c r="IC18" i="28"/>
  <c r="GY18" i="28"/>
  <c r="IR18" i="28"/>
  <c r="EI14" i="28"/>
  <c r="CT20" i="20"/>
  <c r="DU20" i="20"/>
  <c r="EJ15" i="28"/>
  <c r="HR22" i="28"/>
  <c r="IV22" i="28"/>
  <c r="IG22" i="28"/>
  <c r="GN22" i="28"/>
  <c r="FY22" i="28"/>
  <c r="HC22" i="28"/>
  <c r="FJ22" i="28"/>
  <c r="IS18" i="28"/>
  <c r="ID18" i="28"/>
  <c r="HO18" i="28"/>
  <c r="GK18" i="28"/>
  <c r="FG18" i="28"/>
  <c r="GZ18" i="28"/>
  <c r="FV18" i="28"/>
  <c r="CY17" i="20"/>
  <c r="DQ17" i="20" s="1"/>
  <c r="CZ15" i="28"/>
  <c r="CY15" i="28"/>
  <c r="DQ15" i="28" s="1"/>
  <c r="EI15" i="28" s="1"/>
  <c r="DS17" i="28"/>
  <c r="EK17" i="28" s="1"/>
  <c r="CV17" i="28"/>
  <c r="CX16" i="28"/>
  <c r="CW16" i="28"/>
  <c r="DR16" i="28" s="1"/>
  <c r="HX17" i="20"/>
  <c r="JP17" i="20" s="1"/>
  <c r="JQ17" i="20" s="1"/>
  <c r="DA17" i="20"/>
  <c r="DP17" i="20" s="1"/>
  <c r="HD23" i="28"/>
  <c r="GO23" i="28"/>
  <c r="IH23" i="28"/>
  <c r="IW23" i="28"/>
  <c r="HS23" i="28"/>
  <c r="FK23" i="28"/>
  <c r="FZ23" i="28"/>
  <c r="DT19" i="20"/>
  <c r="EL19" i="20" s="1"/>
  <c r="CU19" i="20"/>
  <c r="DW21" i="28"/>
  <c r="EO21" i="28" s="1"/>
  <c r="CR21" i="28"/>
  <c r="DB14" i="28"/>
  <c r="DA14" i="28"/>
  <c r="DP14" i="28" s="1"/>
  <c r="EH14" i="28" s="1"/>
  <c r="IZ17" i="20"/>
  <c r="GJ19" i="20"/>
  <c r="FU19" i="20"/>
  <c r="FF19" i="20"/>
  <c r="IR19" i="20"/>
  <c r="GY19" i="20"/>
  <c r="HN19" i="20"/>
  <c r="IC19" i="20"/>
  <c r="IQ17" i="28"/>
  <c r="IM17" i="28" s="1"/>
  <c r="FT17" i="28"/>
  <c r="FE17" i="28"/>
  <c r="IB17" i="28"/>
  <c r="HX17" i="28" s="1"/>
  <c r="GI17" i="28"/>
  <c r="HM17" i="28"/>
  <c r="HI17" i="28" s="1"/>
  <c r="GX17" i="28"/>
  <c r="GT17" i="28" s="1"/>
  <c r="IT20" i="28"/>
  <c r="GL20" i="28"/>
  <c r="FW20" i="28"/>
  <c r="IE20" i="28"/>
  <c r="HP20" i="28"/>
  <c r="FH20" i="28"/>
  <c r="HA20" i="28"/>
  <c r="CP23" i="28"/>
  <c r="DY23" i="28"/>
  <c r="EF11" i="28"/>
  <c r="EE11" i="28"/>
  <c r="CT19" i="28"/>
  <c r="DU19" i="28"/>
  <c r="EM19" i="28" s="1"/>
  <c r="JA16" i="28"/>
  <c r="DX22" i="28"/>
  <c r="EP22" i="28" s="1"/>
  <c r="CQ22" i="28"/>
  <c r="FP17" i="20"/>
  <c r="CS20" i="28"/>
  <c r="DV20" i="28"/>
  <c r="EN20" i="28" s="1"/>
  <c r="GX18" i="20"/>
  <c r="HM18" i="20"/>
  <c r="FE18" i="20"/>
  <c r="IQ18" i="20"/>
  <c r="GI18" i="20"/>
  <c r="IB18" i="20"/>
  <c r="FT18" i="20"/>
  <c r="DT18" i="28"/>
  <c r="EL18" i="28" s="1"/>
  <c r="CU18" i="28"/>
  <c r="EH13" i="28"/>
  <c r="GK19" i="28"/>
  <c r="ID19" i="28"/>
  <c r="HO19" i="28"/>
  <c r="IS19" i="28"/>
  <c r="FV19" i="28"/>
  <c r="FG19" i="28"/>
  <c r="GZ19" i="28"/>
  <c r="GM21" i="28"/>
  <c r="HQ21" i="28"/>
  <c r="FX21" i="28"/>
  <c r="IF21" i="28"/>
  <c r="IU21" i="28"/>
  <c r="FI21" i="28"/>
  <c r="HB21" i="28"/>
  <c r="CW17" i="20"/>
  <c r="DR17" i="20" s="1"/>
  <c r="EJ17" i="20" s="1"/>
  <c r="FA16" i="28"/>
  <c r="JH16" i="28" s="1"/>
  <c r="JI16" i="28" s="1"/>
  <c r="GJ18" i="20"/>
  <c r="FF18" i="20"/>
  <c r="HN18" i="20"/>
  <c r="GY18" i="20"/>
  <c r="IC18" i="20"/>
  <c r="IR18" i="20"/>
  <c r="FU18" i="20"/>
  <c r="CN25" i="28"/>
  <c r="AP26" i="28"/>
  <c r="DC13" i="28"/>
  <c r="DO13" i="28" s="1"/>
  <c r="EG13" i="28" s="1"/>
  <c r="DD13" i="28"/>
  <c r="EF11" i="20"/>
  <c r="EE11" i="20"/>
  <c r="BE38" i="28"/>
  <c r="BU37" i="28"/>
  <c r="FD136" i="28"/>
  <c r="CD18" i="28"/>
  <c r="CC18" i="28"/>
  <c r="HZ18" i="28"/>
  <c r="HK18" i="28"/>
  <c r="BA20" i="28"/>
  <c r="BC19" i="28"/>
  <c r="EE15" i="20"/>
  <c r="EC15" i="20" s="1"/>
  <c r="Z10" i="28"/>
  <c r="Z11" i="28" s="1"/>
  <c r="AK10" i="28"/>
  <c r="CC43" i="28"/>
  <c r="AZ22" i="28"/>
  <c r="GW21" i="28"/>
  <c r="BX21" i="28"/>
  <c r="HL21" i="28"/>
  <c r="FS21" i="28"/>
  <c r="FD21" i="28"/>
  <c r="IA21" i="28"/>
  <c r="GH21" i="28"/>
  <c r="CF17" i="28"/>
  <c r="BG20" i="20"/>
  <c r="BF21" i="20"/>
  <c r="AZ35" i="20"/>
  <c r="IA34" i="20"/>
  <c r="CE18" i="28"/>
  <c r="GV18" i="28"/>
  <c r="BY17" i="28"/>
  <c r="BG21" i="28"/>
  <c r="BF22" i="28"/>
  <c r="BJ23" i="28"/>
  <c r="BI20" i="28"/>
  <c r="BK19" i="28"/>
  <c r="BB25" i="20"/>
  <c r="CH17" i="28"/>
  <c r="BL36" i="28"/>
  <c r="AD6" i="28"/>
  <c r="BG43" i="28"/>
  <c r="BQ20" i="28"/>
  <c r="BS19" i="28"/>
  <c r="DD17" i="20"/>
  <c r="DC17" i="20"/>
  <c r="DO17" i="20" s="1"/>
  <c r="FR17" i="28"/>
  <c r="BS24" i="20"/>
  <c r="BR25" i="20"/>
  <c r="IP22" i="20"/>
  <c r="CB22" i="20"/>
  <c r="IA22" i="20"/>
  <c r="AY23" i="20"/>
  <c r="BM19" i="28"/>
  <c r="BO18" i="28"/>
  <c r="CH18" i="28" s="1"/>
  <c r="BR22" i="28"/>
  <c r="BW21" i="28"/>
  <c r="BV22" i="28"/>
  <c r="FC132" i="28"/>
  <c r="GE16" i="28"/>
  <c r="GG17" i="28"/>
  <c r="FA132" i="20"/>
  <c r="HZ18" i="20"/>
  <c r="HK18" i="20"/>
  <c r="GV18" i="20"/>
  <c r="CC18" i="20"/>
  <c r="CD18" i="20"/>
  <c r="CE18" i="20"/>
  <c r="BN21" i="28"/>
  <c r="AL6" i="28"/>
  <c r="BW43" i="28"/>
  <c r="AM6" i="28"/>
  <c r="X6" i="28"/>
  <c r="FC17" i="28"/>
  <c r="BB22" i="28"/>
  <c r="BV24" i="20"/>
  <c r="AG10" i="28"/>
  <c r="BA20" i="20"/>
  <c r="BC19" i="20"/>
  <c r="FA131" i="28"/>
  <c r="DF16" i="20"/>
  <c r="DG16" i="20" s="1"/>
  <c r="DM16" i="20" s="1"/>
  <c r="DE16" i="20"/>
  <c r="DN16" i="20" s="1"/>
  <c r="EF16" i="20" s="1"/>
  <c r="BU20" i="20"/>
  <c r="BW19" i="20"/>
  <c r="CB24" i="28"/>
  <c r="IP24" i="28"/>
  <c r="AY25" i="28"/>
  <c r="BN22" i="20"/>
  <c r="AI10" i="28"/>
  <c r="BK22" i="20"/>
  <c r="BJ23" i="20"/>
  <c r="EC14" i="20"/>
  <c r="FC20" i="35" l="1"/>
  <c r="FD137" i="35"/>
  <c r="CH20" i="35"/>
  <c r="CH45" i="35" s="1"/>
  <c r="CH47" i="35" s="1"/>
  <c r="HK20" i="35"/>
  <c r="GG20" i="35"/>
  <c r="CH43" i="35"/>
  <c r="BS22" i="35"/>
  <c r="BQ23" i="35"/>
  <c r="GV20" i="35"/>
  <c r="FC136" i="35" s="1"/>
  <c r="CC21" i="35"/>
  <c r="BC22" i="35"/>
  <c r="BB23" i="35"/>
  <c r="HZ21" i="35"/>
  <c r="CF43" i="35"/>
  <c r="BF25" i="35"/>
  <c r="CG43" i="35"/>
  <c r="AN6" i="35"/>
  <c r="Y8" i="35"/>
  <c r="Y6" i="35"/>
  <c r="Z11" i="35" s="1"/>
  <c r="CE43" i="35"/>
  <c r="BO22" i="35"/>
  <c r="BN23" i="35"/>
  <c r="AD6" i="35"/>
  <c r="AD8" i="35"/>
  <c r="CD20" i="35"/>
  <c r="CD45" i="35" s="1"/>
  <c r="CD47" i="35" s="1"/>
  <c r="CF20" i="35"/>
  <c r="CF45" i="35" s="1"/>
  <c r="CF47" i="35" s="1"/>
  <c r="CE20" i="35"/>
  <c r="CE45" i="35" s="1"/>
  <c r="CE47" i="35" s="1"/>
  <c r="CG20" i="35"/>
  <c r="CG45" i="35" s="1"/>
  <c r="CG47" i="35" s="1"/>
  <c r="BK24" i="35"/>
  <c r="BJ25" i="35"/>
  <c r="BV23" i="35"/>
  <c r="BW22" i="35"/>
  <c r="GH22" i="35"/>
  <c r="FS22" i="35"/>
  <c r="HL22" i="35"/>
  <c r="GW22" i="35"/>
  <c r="IP22" i="35"/>
  <c r="BX22" i="35"/>
  <c r="IA22" i="35"/>
  <c r="FD22" i="35"/>
  <c r="AY23" i="35"/>
  <c r="CB22" i="35"/>
  <c r="CC22" i="35"/>
  <c r="BE22" i="35"/>
  <c r="BG21" i="35"/>
  <c r="CE21" i="35" s="1"/>
  <c r="JO17" i="35"/>
  <c r="JP17" i="35" s="1"/>
  <c r="JH16" i="20"/>
  <c r="JI16" i="20" s="1"/>
  <c r="FG136" i="20"/>
  <c r="FG137" i="20"/>
  <c r="FK140" i="20"/>
  <c r="FJ140" i="20"/>
  <c r="FE134" i="20"/>
  <c r="FC133" i="20"/>
  <c r="FJ138" i="35"/>
  <c r="FF135" i="20"/>
  <c r="FD135" i="20"/>
  <c r="FF134" i="20"/>
  <c r="FK139" i="35"/>
  <c r="JM17" i="35"/>
  <c r="JN17" i="35" s="1"/>
  <c r="BD43" i="20"/>
  <c r="AC8" i="20"/>
  <c r="AC6" i="20"/>
  <c r="BD21" i="20"/>
  <c r="FS20" i="20"/>
  <c r="BX20" i="20"/>
  <c r="GW20" i="20"/>
  <c r="HL20" i="20"/>
  <c r="GH20" i="20"/>
  <c r="FD20" i="20"/>
  <c r="JS16" i="35"/>
  <c r="JT16" i="35" s="1"/>
  <c r="EH17" i="20"/>
  <c r="JQ17" i="35"/>
  <c r="JR17" i="35" s="1"/>
  <c r="JG17" i="35"/>
  <c r="JH17" i="35" s="1"/>
  <c r="JK17" i="35"/>
  <c r="JL17" i="35" s="1"/>
  <c r="BU25" i="35"/>
  <c r="FI137" i="35"/>
  <c r="FH136" i="35"/>
  <c r="FJ137" i="35"/>
  <c r="GZ20" i="35"/>
  <c r="ID20" i="35"/>
  <c r="IS20" i="35"/>
  <c r="HO20" i="35"/>
  <c r="FG20" i="35"/>
  <c r="GK20" i="35"/>
  <c r="FV20" i="35"/>
  <c r="DW22" i="35"/>
  <c r="CR22" i="35"/>
  <c r="FE18" i="35"/>
  <c r="FT18" i="35"/>
  <c r="GX18" i="35"/>
  <c r="IB18" i="35"/>
  <c r="GI18" i="35"/>
  <c r="HM18" i="35"/>
  <c r="IQ18" i="35"/>
  <c r="CQ23" i="35"/>
  <c r="DX23" i="35"/>
  <c r="EP23" i="35" s="1"/>
  <c r="DU20" i="35"/>
  <c r="EM20" i="35" s="1"/>
  <c r="CT20" i="35"/>
  <c r="FU18" i="35"/>
  <c r="GY18" i="35"/>
  <c r="GJ18" i="35"/>
  <c r="HN18" i="35"/>
  <c r="IC18" i="35"/>
  <c r="IR18" i="35"/>
  <c r="FF18" i="35"/>
  <c r="HR23" i="35"/>
  <c r="FJ23" i="35"/>
  <c r="IG23" i="35"/>
  <c r="FY23" i="35"/>
  <c r="HC23" i="35"/>
  <c r="GN23" i="35"/>
  <c r="IV23" i="35"/>
  <c r="DY24" i="35"/>
  <c r="EQ24" i="35" s="1"/>
  <c r="CP24" i="35"/>
  <c r="FA131" i="35"/>
  <c r="D54" i="34" s="1"/>
  <c r="JI15" i="35"/>
  <c r="JJ15" i="35" s="1"/>
  <c r="JA15" i="35" s="1"/>
  <c r="EI15" i="35"/>
  <c r="FZ24" i="35"/>
  <c r="FK24" i="35"/>
  <c r="IH24" i="35"/>
  <c r="GO24" i="35"/>
  <c r="HD24" i="35"/>
  <c r="IW24" i="35"/>
  <c r="HS24" i="35"/>
  <c r="EO21" i="35"/>
  <c r="DA15" i="35"/>
  <c r="DP15" i="35" s="1"/>
  <c r="EH15" i="35" s="1"/>
  <c r="DB15" i="35"/>
  <c r="IZ17" i="35"/>
  <c r="CO25" i="35"/>
  <c r="DZ25" i="35"/>
  <c r="FA132" i="35"/>
  <c r="D55" i="34" s="1"/>
  <c r="CS21" i="35"/>
  <c r="DV21" i="35"/>
  <c r="EN21" i="35" s="1"/>
  <c r="EC11" i="35"/>
  <c r="FP17" i="35"/>
  <c r="FE133" i="35"/>
  <c r="AP27" i="35"/>
  <c r="CN26" i="35"/>
  <c r="CZ16" i="35"/>
  <c r="CY16" i="35"/>
  <c r="DQ16" i="35" s="1"/>
  <c r="EI16" i="35" s="1"/>
  <c r="DS18" i="35"/>
  <c r="EK18" i="35" s="1"/>
  <c r="CV18" i="35"/>
  <c r="CX17" i="35"/>
  <c r="CW17" i="35"/>
  <c r="DR17" i="35" s="1"/>
  <c r="EJ17" i="35" s="1"/>
  <c r="DD14" i="35"/>
  <c r="DC14" i="35"/>
  <c r="DO14" i="35" s="1"/>
  <c r="DF13" i="35"/>
  <c r="DG13" i="35" s="1"/>
  <c r="DM13" i="35" s="1"/>
  <c r="DE13" i="35"/>
  <c r="DN13" i="35" s="1"/>
  <c r="EF13" i="35" s="1"/>
  <c r="GY19" i="35"/>
  <c r="IR19" i="35"/>
  <c r="GJ19" i="35"/>
  <c r="FF19" i="35"/>
  <c r="IC19" i="35"/>
  <c r="FU19" i="35"/>
  <c r="HN19" i="35"/>
  <c r="CU19" i="35"/>
  <c r="DT19" i="35"/>
  <c r="EE12" i="35"/>
  <c r="EC12" i="35" s="1"/>
  <c r="GM22" i="35"/>
  <c r="HB22" i="35"/>
  <c r="HQ22" i="35"/>
  <c r="IU22" i="35"/>
  <c r="FI22" i="35"/>
  <c r="FX22" i="35"/>
  <c r="IF22" i="35"/>
  <c r="EG13" i="35"/>
  <c r="ID19" i="35"/>
  <c r="GK19" i="35"/>
  <c r="FV19" i="35"/>
  <c r="HO19" i="35"/>
  <c r="FG19" i="35"/>
  <c r="IS19" i="35"/>
  <c r="GZ19" i="35"/>
  <c r="CG18" i="20"/>
  <c r="BY18" i="20"/>
  <c r="FC18" i="20"/>
  <c r="FA18" i="20" s="1"/>
  <c r="JF18" i="20" s="1"/>
  <c r="JG18" i="20" s="1"/>
  <c r="GE17" i="20"/>
  <c r="FA133" i="20" s="1"/>
  <c r="CF18" i="20"/>
  <c r="CH18" i="20"/>
  <c r="FR18" i="20"/>
  <c r="FP18" i="20" s="1"/>
  <c r="JR17" i="20"/>
  <c r="JS17" i="20" s="1"/>
  <c r="BM20" i="20"/>
  <c r="BO19" i="20"/>
  <c r="GG19" i="20" s="1"/>
  <c r="AZ27" i="35"/>
  <c r="JL15" i="28"/>
  <c r="JM15" i="28" s="1"/>
  <c r="JB15" i="28" s="1"/>
  <c r="JR17" i="28"/>
  <c r="JS17" i="28" s="1"/>
  <c r="BR29" i="35"/>
  <c r="FH136" i="28"/>
  <c r="FI137" i="28"/>
  <c r="FW23" i="20"/>
  <c r="IT23" i="20"/>
  <c r="HA23" i="20"/>
  <c r="GL23" i="20"/>
  <c r="HP23" i="20"/>
  <c r="IE23" i="20"/>
  <c r="FH23" i="20"/>
  <c r="DX25" i="20"/>
  <c r="EP25" i="20" s="1"/>
  <c r="CQ25" i="20"/>
  <c r="IF24" i="20"/>
  <c r="FI24" i="20"/>
  <c r="GM24" i="20"/>
  <c r="FX24" i="20"/>
  <c r="IU24" i="20"/>
  <c r="HB24" i="20"/>
  <c r="HQ24" i="20"/>
  <c r="IV25" i="20"/>
  <c r="FJ25" i="20"/>
  <c r="HR25" i="20"/>
  <c r="HC25" i="20"/>
  <c r="IG25" i="20"/>
  <c r="FY25" i="20"/>
  <c r="GN25" i="20"/>
  <c r="IH25" i="20"/>
  <c r="HS25" i="20"/>
  <c r="GO25" i="20"/>
  <c r="FZ25" i="20"/>
  <c r="FK25" i="20"/>
  <c r="IW25" i="20"/>
  <c r="HD25" i="20"/>
  <c r="IU23" i="20"/>
  <c r="GM23" i="20"/>
  <c r="IF23" i="20"/>
  <c r="HB23" i="20"/>
  <c r="HQ23" i="20"/>
  <c r="FI23" i="20"/>
  <c r="FX23" i="20"/>
  <c r="CO27" i="20"/>
  <c r="DZ27" i="20"/>
  <c r="ER27" i="20" s="1"/>
  <c r="CR24" i="20"/>
  <c r="DW24" i="20"/>
  <c r="EO24" i="20" s="1"/>
  <c r="AP29" i="20"/>
  <c r="CN28" i="20"/>
  <c r="CB28" i="20"/>
  <c r="HD26" i="20"/>
  <c r="FK26" i="20"/>
  <c r="GO26" i="20"/>
  <c r="FZ26" i="20"/>
  <c r="HS26" i="20"/>
  <c r="IH26" i="20"/>
  <c r="IW26" i="20"/>
  <c r="CP26" i="20"/>
  <c r="DY26" i="20"/>
  <c r="EQ26" i="20" s="1"/>
  <c r="DV23" i="20"/>
  <c r="EN23" i="20" s="1"/>
  <c r="CS23" i="20"/>
  <c r="JT16" i="28"/>
  <c r="JU16" i="28" s="1"/>
  <c r="JN17" i="28"/>
  <c r="JO17" i="28" s="1"/>
  <c r="FJ138" i="28"/>
  <c r="EC11" i="28"/>
  <c r="CU22" i="20"/>
  <c r="CV22" i="20" s="1"/>
  <c r="FK139" i="28"/>
  <c r="FF134" i="28"/>
  <c r="FD137" i="28"/>
  <c r="FE133" i="28"/>
  <c r="FG134" i="28"/>
  <c r="JP17" i="28"/>
  <c r="JQ17" i="28" s="1"/>
  <c r="FG135" i="28"/>
  <c r="JJ16" i="20"/>
  <c r="JK16" i="20" s="1"/>
  <c r="JA16" i="20" s="1"/>
  <c r="HX18" i="20"/>
  <c r="JP18" i="20" s="1"/>
  <c r="JQ18" i="20" s="1"/>
  <c r="CW18" i="20"/>
  <c r="DR18" i="20" s="1"/>
  <c r="EJ18" i="20" s="1"/>
  <c r="DA18" i="20"/>
  <c r="DP18" i="20" s="1"/>
  <c r="EL22" i="20"/>
  <c r="EM21" i="20"/>
  <c r="DT21" i="20"/>
  <c r="EL21" i="20" s="1"/>
  <c r="CU21" i="20"/>
  <c r="EM22" i="20"/>
  <c r="HO22" i="20"/>
  <c r="GZ22" i="20"/>
  <c r="FG22" i="20"/>
  <c r="GK22" i="20"/>
  <c r="FV22" i="20"/>
  <c r="ID22" i="20"/>
  <c r="IS22" i="20"/>
  <c r="FP17" i="28"/>
  <c r="JJ17" i="28" s="1"/>
  <c r="JK17" i="28" s="1"/>
  <c r="GT18" i="20"/>
  <c r="JL18" i="20" s="1"/>
  <c r="JM18" i="20" s="1"/>
  <c r="EI17" i="20"/>
  <c r="CY18" i="20"/>
  <c r="DQ18" i="20" s="1"/>
  <c r="HI18" i="20"/>
  <c r="JN18" i="20" s="1"/>
  <c r="JO18" i="20" s="1"/>
  <c r="IM18" i="20"/>
  <c r="FA17" i="28"/>
  <c r="JH17" i="28" s="1"/>
  <c r="JI17" i="28" s="1"/>
  <c r="DD14" i="28"/>
  <c r="DC14" i="28"/>
  <c r="DO14" i="28" s="1"/>
  <c r="CN26" i="28"/>
  <c r="AP27" i="28"/>
  <c r="CT20" i="28"/>
  <c r="DU20" i="28"/>
  <c r="EM20" i="28" s="1"/>
  <c r="IR19" i="28"/>
  <c r="FF19" i="28"/>
  <c r="FU19" i="28"/>
  <c r="GY19" i="28"/>
  <c r="IC19" i="28"/>
  <c r="HN19" i="28"/>
  <c r="GJ19" i="28"/>
  <c r="EQ23" i="28"/>
  <c r="DZ25" i="28"/>
  <c r="CO25" i="28"/>
  <c r="DT19" i="28"/>
  <c r="EL19" i="28" s="1"/>
  <c r="CU19" i="28"/>
  <c r="DX23" i="28"/>
  <c r="EP23" i="28" s="1"/>
  <c r="CQ23" i="28"/>
  <c r="EM20" i="20"/>
  <c r="DW22" i="28"/>
  <c r="EO22" i="28" s="1"/>
  <c r="CR22" i="28"/>
  <c r="HP21" i="28"/>
  <c r="IT21" i="28"/>
  <c r="IE21" i="28"/>
  <c r="FW21" i="28"/>
  <c r="FH21" i="28"/>
  <c r="GL21" i="28"/>
  <c r="HA21" i="28"/>
  <c r="CX17" i="28"/>
  <c r="CW17" i="28"/>
  <c r="DR17" i="28" s="1"/>
  <c r="DY24" i="28"/>
  <c r="EQ24" i="28" s="1"/>
  <c r="CP24" i="28"/>
  <c r="DT20" i="20"/>
  <c r="EL20" i="20" s="1"/>
  <c r="CU20" i="20"/>
  <c r="DV21" i="28"/>
  <c r="EN21" i="28" s="1"/>
  <c r="CS21" i="28"/>
  <c r="EC11" i="20"/>
  <c r="DS18" i="28"/>
  <c r="EK18" i="28" s="1"/>
  <c r="CV18" i="28"/>
  <c r="HB22" i="28"/>
  <c r="HQ22" i="28"/>
  <c r="FX22" i="28"/>
  <c r="GM22" i="28"/>
  <c r="IF22" i="28"/>
  <c r="IU22" i="28"/>
  <c r="FI22" i="28"/>
  <c r="CV19" i="20"/>
  <c r="CX19" i="20" s="1"/>
  <c r="CZ19" i="20" s="1"/>
  <c r="DA19" i="20" s="1"/>
  <c r="DP19" i="20" s="1"/>
  <c r="DS19" i="20"/>
  <c r="EK19" i="20" s="1"/>
  <c r="IH24" i="28"/>
  <c r="FZ24" i="28"/>
  <c r="HD24" i="28"/>
  <c r="HS24" i="28"/>
  <c r="IW24" i="28"/>
  <c r="FK24" i="28"/>
  <c r="GO24" i="28"/>
  <c r="EF12" i="28"/>
  <c r="EE12" i="28"/>
  <c r="CZ16" i="28"/>
  <c r="CY16" i="28"/>
  <c r="DQ16" i="28" s="1"/>
  <c r="FT18" i="28"/>
  <c r="HM18" i="28"/>
  <c r="HI18" i="28" s="1"/>
  <c r="IQ18" i="28"/>
  <c r="IM18" i="28" s="1"/>
  <c r="IB18" i="28"/>
  <c r="HX18" i="28" s="1"/>
  <c r="GX18" i="28"/>
  <c r="GT18" i="28" s="1"/>
  <c r="GI18" i="28"/>
  <c r="FE18" i="28"/>
  <c r="FT19" i="20"/>
  <c r="FE19" i="20"/>
  <c r="GX19" i="20"/>
  <c r="IQ19" i="20"/>
  <c r="IM19" i="20" s="1"/>
  <c r="IB19" i="20"/>
  <c r="HM19" i="20"/>
  <c r="GI19" i="20"/>
  <c r="EJ16" i="28"/>
  <c r="DE13" i="28"/>
  <c r="DN13" i="28" s="1"/>
  <c r="DF13" i="28"/>
  <c r="DG13" i="28" s="1"/>
  <c r="DM13" i="28" s="1"/>
  <c r="FG20" i="28"/>
  <c r="GK20" i="28"/>
  <c r="IS20" i="28"/>
  <c r="ID20" i="28"/>
  <c r="GZ20" i="28"/>
  <c r="HO20" i="28"/>
  <c r="FV20" i="28"/>
  <c r="JA17" i="28"/>
  <c r="DB15" i="28"/>
  <c r="DA15" i="28"/>
  <c r="DP15" i="28" s="1"/>
  <c r="EH15" i="28" s="1"/>
  <c r="BE39" i="28"/>
  <c r="BU38" i="28"/>
  <c r="JH17" i="20"/>
  <c r="JI17" i="20" s="1"/>
  <c r="CC19" i="28"/>
  <c r="HK19" i="28"/>
  <c r="HZ19" i="28"/>
  <c r="CD19" i="28"/>
  <c r="BA21" i="28"/>
  <c r="BC20" i="28"/>
  <c r="CG18" i="28"/>
  <c r="AD6" i="20"/>
  <c r="AD8" i="20"/>
  <c r="BG43" i="20"/>
  <c r="AZ23" i="28"/>
  <c r="FS22" i="28"/>
  <c r="IA22" i="28"/>
  <c r="FD22" i="28"/>
  <c r="GH22" i="28"/>
  <c r="GW22" i="28"/>
  <c r="HL22" i="28"/>
  <c r="BX22" i="28"/>
  <c r="BV25" i="20"/>
  <c r="BN22" i="28"/>
  <c r="IA23" i="20"/>
  <c r="CB23" i="20"/>
  <c r="IP23" i="20"/>
  <c r="AY24" i="20"/>
  <c r="EG17" i="20"/>
  <c r="FC18" i="28"/>
  <c r="BA21" i="20"/>
  <c r="BC20" i="20"/>
  <c r="BN23" i="20"/>
  <c r="FC133" i="28"/>
  <c r="GE17" i="28"/>
  <c r="DD18" i="20"/>
  <c r="DC18" i="20"/>
  <c r="DO18" i="20" s="1"/>
  <c r="DF17" i="20"/>
  <c r="DG17" i="20" s="1"/>
  <c r="DM17" i="20" s="1"/>
  <c r="DE17" i="20"/>
  <c r="DN17" i="20" s="1"/>
  <c r="GG18" i="28"/>
  <c r="AZ36" i="20"/>
  <c r="IA35" i="20"/>
  <c r="BM20" i="28"/>
  <c r="BO19" i="28"/>
  <c r="FC19" i="28" s="1"/>
  <c r="EE16" i="20"/>
  <c r="EC16" i="20" s="1"/>
  <c r="BB23" i="28"/>
  <c r="BW22" i="28"/>
  <c r="BV23" i="28"/>
  <c r="BB26" i="20"/>
  <c r="BG22" i="28"/>
  <c r="BF23" i="28"/>
  <c r="BY18" i="28"/>
  <c r="BQ21" i="28"/>
  <c r="BS20" i="28"/>
  <c r="FR18" i="28"/>
  <c r="BU21" i="20"/>
  <c r="BW20" i="20"/>
  <c r="BR23" i="28"/>
  <c r="BL37" i="28"/>
  <c r="GV19" i="28"/>
  <c r="CE19" i="28"/>
  <c r="BI21" i="28"/>
  <c r="BK20" i="28"/>
  <c r="CF18" i="28"/>
  <c r="BK23" i="20"/>
  <c r="BJ24" i="20"/>
  <c r="GE18" i="20"/>
  <c r="CB25" i="28"/>
  <c r="IP25" i="28"/>
  <c r="AY26" i="28"/>
  <c r="CC19" i="20"/>
  <c r="HZ19" i="20"/>
  <c r="GV19" i="20"/>
  <c r="HK19" i="20"/>
  <c r="CD19" i="20"/>
  <c r="CE19" i="20"/>
  <c r="FA132" i="28"/>
  <c r="BS25" i="20"/>
  <c r="BR26" i="20"/>
  <c r="BJ24" i="28"/>
  <c r="BG21" i="20"/>
  <c r="BF22" i="20"/>
  <c r="FD138" i="35" l="1"/>
  <c r="GG21" i="35"/>
  <c r="BQ24" i="35"/>
  <c r="BS23" i="35"/>
  <c r="GV21" i="35"/>
  <c r="CF21" i="35"/>
  <c r="HK21" i="35"/>
  <c r="BN24" i="35"/>
  <c r="BO23" i="35"/>
  <c r="CH21" i="35"/>
  <c r="BK25" i="35"/>
  <c r="BJ26" i="35"/>
  <c r="BY21" i="35"/>
  <c r="BB24" i="35"/>
  <c r="BC23" i="35"/>
  <c r="CC23" i="35" s="1"/>
  <c r="HL23" i="35"/>
  <c r="BX23" i="35"/>
  <c r="FS23" i="35"/>
  <c r="FD23" i="35"/>
  <c r="GH23" i="35"/>
  <c r="AY24" i="35"/>
  <c r="IA23" i="35"/>
  <c r="IP23" i="35"/>
  <c r="GW23" i="35"/>
  <c r="CB23" i="35"/>
  <c r="FC21" i="35"/>
  <c r="HZ22" i="35"/>
  <c r="CG21" i="35"/>
  <c r="BE23" i="35"/>
  <c r="BG22" i="35"/>
  <c r="CG22" i="35" s="1"/>
  <c r="BV24" i="35"/>
  <c r="BW23" i="35"/>
  <c r="BF26" i="35"/>
  <c r="FR21" i="35"/>
  <c r="FC137" i="35" s="1"/>
  <c r="CD21" i="35"/>
  <c r="FK142" i="20"/>
  <c r="FC134" i="20"/>
  <c r="FJ141" i="20"/>
  <c r="FK141" i="20"/>
  <c r="FI139" i="20"/>
  <c r="FI140" i="20"/>
  <c r="FK140" i="35"/>
  <c r="FD136" i="20"/>
  <c r="FH139" i="20"/>
  <c r="FG136" i="35"/>
  <c r="FE135" i="20"/>
  <c r="FG138" i="20"/>
  <c r="FF134" i="35"/>
  <c r="FJ139" i="35"/>
  <c r="FI138" i="35"/>
  <c r="FF135" i="35"/>
  <c r="X6" i="20"/>
  <c r="AM6" i="20"/>
  <c r="X8" i="20"/>
  <c r="BD22" i="20"/>
  <c r="CX22" i="20" s="1"/>
  <c r="FD21" i="20"/>
  <c r="BX21" i="20"/>
  <c r="GW21" i="20"/>
  <c r="HL21" i="20"/>
  <c r="FS21" i="20"/>
  <c r="GH21" i="20"/>
  <c r="JS17" i="35"/>
  <c r="JT17" i="35" s="1"/>
  <c r="HX18" i="35"/>
  <c r="JQ18" i="35" s="1"/>
  <c r="JR18" i="35" s="1"/>
  <c r="BU26" i="35"/>
  <c r="IM18" i="35"/>
  <c r="FG135" i="35"/>
  <c r="HI18" i="35"/>
  <c r="JO18" i="35" s="1"/>
  <c r="JP18" i="35" s="1"/>
  <c r="EG14" i="35"/>
  <c r="DZ26" i="35"/>
  <c r="ER26" i="35" s="1"/>
  <c r="CO26" i="35"/>
  <c r="HA21" i="35"/>
  <c r="IE21" i="35"/>
  <c r="GL21" i="35"/>
  <c r="FH21" i="35"/>
  <c r="HP21" i="35"/>
  <c r="FW21" i="35"/>
  <c r="IT21" i="35"/>
  <c r="EO22" i="35"/>
  <c r="DF14" i="35"/>
  <c r="DG14" i="35" s="1"/>
  <c r="DM14" i="35" s="1"/>
  <c r="DE14" i="35"/>
  <c r="DN14" i="35" s="1"/>
  <c r="EF14" i="35" s="1"/>
  <c r="AP28" i="35"/>
  <c r="CN27" i="35"/>
  <c r="ER25" i="35"/>
  <c r="DY25" i="35"/>
  <c r="EQ25" i="35" s="1"/>
  <c r="CP25" i="35"/>
  <c r="GE18" i="35"/>
  <c r="JK18" i="35" s="1"/>
  <c r="JL18" i="35" s="1"/>
  <c r="CY17" i="35"/>
  <c r="DQ17" i="35" s="1"/>
  <c r="EI17" i="35" s="1"/>
  <c r="CZ17" i="35"/>
  <c r="FA133" i="35"/>
  <c r="D56" i="34" s="1"/>
  <c r="CX18" i="35"/>
  <c r="CW18" i="35"/>
  <c r="DR18" i="35" s="1"/>
  <c r="CQ24" i="35"/>
  <c r="DX24" i="35"/>
  <c r="DT20" i="35"/>
  <c r="CU20" i="35"/>
  <c r="GT18" i="35"/>
  <c r="JM18" i="35" s="1"/>
  <c r="JN18" i="35" s="1"/>
  <c r="EL19" i="35"/>
  <c r="DD15" i="35"/>
  <c r="DC15" i="35"/>
  <c r="DO15" i="35" s="1"/>
  <c r="FY24" i="35"/>
  <c r="IG24" i="35"/>
  <c r="FJ24" i="35"/>
  <c r="HR24" i="35"/>
  <c r="GN24" i="35"/>
  <c r="HC24" i="35"/>
  <c r="IV24" i="35"/>
  <c r="HN20" i="35"/>
  <c r="IR20" i="35"/>
  <c r="GY20" i="35"/>
  <c r="FU20" i="35"/>
  <c r="FF20" i="35"/>
  <c r="IC20" i="35"/>
  <c r="GJ20" i="35"/>
  <c r="FP18" i="35"/>
  <c r="FE134" i="35"/>
  <c r="DS19" i="35"/>
  <c r="EK19" i="35" s="1"/>
  <c r="CV19" i="35"/>
  <c r="EE13" i="35"/>
  <c r="EC13" i="35" s="1"/>
  <c r="DU21" i="35"/>
  <c r="EM21" i="35" s="1"/>
  <c r="CT21" i="35"/>
  <c r="GM23" i="35"/>
  <c r="FX23" i="35"/>
  <c r="IF23" i="35"/>
  <c r="HQ23" i="35"/>
  <c r="HB23" i="35"/>
  <c r="IU23" i="35"/>
  <c r="FI23" i="35"/>
  <c r="FA18" i="35"/>
  <c r="JG18" i="35" s="1"/>
  <c r="JH18" i="35" s="1"/>
  <c r="DB16" i="35"/>
  <c r="DA16" i="35"/>
  <c r="DP16" i="35" s="1"/>
  <c r="JI16" i="35"/>
  <c r="JJ16" i="35" s="1"/>
  <c r="JA16" i="35" s="1"/>
  <c r="HO21" i="35"/>
  <c r="GZ21" i="35"/>
  <c r="GK21" i="35"/>
  <c r="ID21" i="35"/>
  <c r="FG21" i="35"/>
  <c r="IS21" i="35"/>
  <c r="FV21" i="35"/>
  <c r="CR23" i="35"/>
  <c r="DW23" i="35"/>
  <c r="DV22" i="35"/>
  <c r="EN22" i="35" s="1"/>
  <c r="CS22" i="35"/>
  <c r="CG19" i="20"/>
  <c r="JP18" i="28"/>
  <c r="JQ18" i="28" s="1"/>
  <c r="BY19" i="20"/>
  <c r="FC19" i="20"/>
  <c r="FA19" i="20" s="1"/>
  <c r="JF19" i="20" s="1"/>
  <c r="JG19" i="20" s="1"/>
  <c r="CH19" i="20"/>
  <c r="JR18" i="20"/>
  <c r="JS18" i="20" s="1"/>
  <c r="FR19" i="20"/>
  <c r="FP19" i="20" s="1"/>
  <c r="CF19" i="20"/>
  <c r="BM21" i="20"/>
  <c r="BO20" i="20"/>
  <c r="CG20" i="20" s="1"/>
  <c r="CG45" i="20" s="1"/>
  <c r="CG47" i="20" s="1"/>
  <c r="AZ28" i="35"/>
  <c r="JL16" i="28"/>
  <c r="JM16" i="28" s="1"/>
  <c r="JB16" i="28" s="1"/>
  <c r="JR18" i="28"/>
  <c r="JS18" i="28" s="1"/>
  <c r="DS22" i="20"/>
  <c r="EK22" i="20" s="1"/>
  <c r="JT17" i="28"/>
  <c r="JU17" i="28" s="1"/>
  <c r="FI138" i="28"/>
  <c r="BR30" i="35"/>
  <c r="JN18" i="28"/>
  <c r="JO18" i="28" s="1"/>
  <c r="JJ17" i="20"/>
  <c r="JK17" i="20" s="1"/>
  <c r="JA17" i="20" s="1"/>
  <c r="CT23" i="20"/>
  <c r="DU23" i="20"/>
  <c r="CS24" i="20"/>
  <c r="DV24" i="20"/>
  <c r="FX25" i="20"/>
  <c r="HQ25" i="20"/>
  <c r="HB25" i="20"/>
  <c r="IF25" i="20"/>
  <c r="FI25" i="20"/>
  <c r="IU25" i="20"/>
  <c r="GM25" i="20"/>
  <c r="HO23" i="20"/>
  <c r="FG23" i="20"/>
  <c r="FV23" i="20"/>
  <c r="IS23" i="20"/>
  <c r="GZ23" i="20"/>
  <c r="ID23" i="20"/>
  <c r="GK23" i="20"/>
  <c r="HS27" i="20"/>
  <c r="HD27" i="20"/>
  <c r="FK27" i="20"/>
  <c r="GO27" i="20"/>
  <c r="FZ27" i="20"/>
  <c r="IH27" i="20"/>
  <c r="IW27" i="20"/>
  <c r="HR26" i="20"/>
  <c r="HC26" i="20"/>
  <c r="FJ26" i="20"/>
  <c r="IG26" i="20"/>
  <c r="FY26" i="20"/>
  <c r="GN26" i="20"/>
  <c r="IV26" i="20"/>
  <c r="CP27" i="20"/>
  <c r="DY27" i="20"/>
  <c r="CQ26" i="20"/>
  <c r="DX26" i="20"/>
  <c r="EP26" i="20" s="1"/>
  <c r="CO28" i="20"/>
  <c r="DZ28" i="20"/>
  <c r="AP30" i="20"/>
  <c r="AP31" i="20" s="1"/>
  <c r="CN29" i="20"/>
  <c r="CB29" i="20"/>
  <c r="HA24" i="20"/>
  <c r="HP24" i="20"/>
  <c r="IT24" i="20"/>
  <c r="IE24" i="20"/>
  <c r="FW24" i="20"/>
  <c r="GL24" i="20"/>
  <c r="FH24" i="20"/>
  <c r="CR25" i="20"/>
  <c r="DW25" i="20"/>
  <c r="EO25" i="20" s="1"/>
  <c r="FK140" i="28"/>
  <c r="EH18" i="20"/>
  <c r="FH137" i="28"/>
  <c r="FG136" i="28"/>
  <c r="FE134" i="28"/>
  <c r="FF135" i="28"/>
  <c r="EG18" i="20"/>
  <c r="EI18" i="20"/>
  <c r="GT19" i="20"/>
  <c r="JL19" i="20" s="1"/>
  <c r="JM19" i="20" s="1"/>
  <c r="IB21" i="20"/>
  <c r="IQ21" i="20"/>
  <c r="GX21" i="20"/>
  <c r="FT21" i="20"/>
  <c r="FE21" i="20"/>
  <c r="GI21" i="20"/>
  <c r="HM21" i="20"/>
  <c r="IR22" i="20"/>
  <c r="HN22" i="20"/>
  <c r="GY22" i="20"/>
  <c r="GJ22" i="20"/>
  <c r="FU22" i="20"/>
  <c r="FF22" i="20"/>
  <c r="IC22" i="20"/>
  <c r="CV21" i="20"/>
  <c r="CX21" i="20" s="1"/>
  <c r="CZ21" i="20" s="1"/>
  <c r="DS21" i="20"/>
  <c r="EK21" i="20" s="1"/>
  <c r="FU21" i="20"/>
  <c r="HN21" i="20"/>
  <c r="FF21" i="20"/>
  <c r="IR21" i="20"/>
  <c r="GY21" i="20"/>
  <c r="GJ21" i="20"/>
  <c r="IC21" i="20"/>
  <c r="IB22" i="20"/>
  <c r="HM22" i="20"/>
  <c r="GX22" i="20"/>
  <c r="FE22" i="20"/>
  <c r="GI22" i="20"/>
  <c r="FT22" i="20"/>
  <c r="IQ22" i="20"/>
  <c r="IZ18" i="20"/>
  <c r="IZ19" i="20" s="1"/>
  <c r="DB19" i="20"/>
  <c r="DD19" i="20" s="1"/>
  <c r="CW19" i="20"/>
  <c r="DR19" i="20" s="1"/>
  <c r="EJ19" i="20" s="1"/>
  <c r="FP18" i="28"/>
  <c r="JJ18" i="28" s="1"/>
  <c r="JK18" i="28" s="1"/>
  <c r="HI19" i="20"/>
  <c r="JN19" i="20" s="1"/>
  <c r="JO19" i="20" s="1"/>
  <c r="EC12" i="28"/>
  <c r="CY19" i="20"/>
  <c r="DQ19" i="20" s="1"/>
  <c r="EH19" i="20" s="1"/>
  <c r="HX19" i="20"/>
  <c r="JP19" i="20" s="1"/>
  <c r="JQ19" i="20" s="1"/>
  <c r="FX23" i="28"/>
  <c r="IF23" i="28"/>
  <c r="HB23" i="28"/>
  <c r="HQ23" i="28"/>
  <c r="FI23" i="28"/>
  <c r="GM23" i="28"/>
  <c r="IU23" i="28"/>
  <c r="CT21" i="28"/>
  <c r="DU21" i="28"/>
  <c r="CZ17" i="28"/>
  <c r="CY17" i="28"/>
  <c r="DQ17" i="28" s="1"/>
  <c r="CS22" i="28"/>
  <c r="DV22" i="28"/>
  <c r="EN22" i="28" s="1"/>
  <c r="CP25" i="28"/>
  <c r="DY25" i="28"/>
  <c r="EQ25" i="28" s="1"/>
  <c r="DT20" i="28"/>
  <c r="EL20" i="28" s="1"/>
  <c r="CU20" i="28"/>
  <c r="DF14" i="28"/>
  <c r="DG14" i="28" s="1"/>
  <c r="DM14" i="28" s="1"/>
  <c r="DE14" i="28"/>
  <c r="DN14" i="28" s="1"/>
  <c r="ID21" i="28"/>
  <c r="FV21" i="28"/>
  <c r="GZ21" i="28"/>
  <c r="IS21" i="28"/>
  <c r="FG21" i="28"/>
  <c r="GK21" i="28"/>
  <c r="HO21" i="28"/>
  <c r="HA22" i="28"/>
  <c r="GL22" i="28"/>
  <c r="IE22" i="28"/>
  <c r="FW22" i="28"/>
  <c r="HP22" i="28"/>
  <c r="IT22" i="28"/>
  <c r="FH22" i="28"/>
  <c r="ER25" i="28"/>
  <c r="CV20" i="20"/>
  <c r="CX20" i="20" s="1"/>
  <c r="CZ20" i="20" s="1"/>
  <c r="DA20" i="20" s="1"/>
  <c r="DP20" i="20" s="1"/>
  <c r="DS20" i="20"/>
  <c r="EK20" i="20" s="1"/>
  <c r="GJ20" i="20"/>
  <c r="HN20" i="20"/>
  <c r="FF20" i="20"/>
  <c r="IC20" i="20"/>
  <c r="FU20" i="20"/>
  <c r="IR20" i="20"/>
  <c r="GY20" i="20"/>
  <c r="DC15" i="28"/>
  <c r="DO15" i="28" s="1"/>
  <c r="DD15" i="28"/>
  <c r="CR23" i="28"/>
  <c r="DW23" i="28"/>
  <c r="CO26" i="28"/>
  <c r="DZ26" i="28"/>
  <c r="ER26" i="28" s="1"/>
  <c r="CN27" i="28"/>
  <c r="AP28" i="28"/>
  <c r="CX18" i="28"/>
  <c r="CW18" i="28"/>
  <c r="DR18" i="28" s="1"/>
  <c r="DX24" i="28"/>
  <c r="EP24" i="28" s="1"/>
  <c r="CQ24" i="28"/>
  <c r="IQ20" i="20"/>
  <c r="GI20" i="20"/>
  <c r="HM20" i="20"/>
  <c r="FT20" i="20"/>
  <c r="IB20" i="20"/>
  <c r="GX20" i="20"/>
  <c r="FE20" i="20"/>
  <c r="EF13" i="28"/>
  <c r="EE13" i="28"/>
  <c r="IG24" i="28"/>
  <c r="GN24" i="28"/>
  <c r="HC24" i="28"/>
  <c r="FY24" i="28"/>
  <c r="FJ24" i="28"/>
  <c r="HR24" i="28"/>
  <c r="IV24" i="28"/>
  <c r="DS19" i="28"/>
  <c r="EK19" i="28" s="1"/>
  <c r="CV19" i="28"/>
  <c r="DA16" i="28"/>
  <c r="DP16" i="28" s="1"/>
  <c r="EH16" i="28" s="1"/>
  <c r="DB16" i="28"/>
  <c r="FA18" i="28"/>
  <c r="JH18" i="28" s="1"/>
  <c r="JI18" i="28" s="1"/>
  <c r="EI16" i="28"/>
  <c r="JA18" i="28"/>
  <c r="EJ17" i="28"/>
  <c r="GX19" i="28"/>
  <c r="GT19" i="28" s="1"/>
  <c r="IQ19" i="28"/>
  <c r="IM19" i="28" s="1"/>
  <c r="HM19" i="28"/>
  <c r="HI19" i="28" s="1"/>
  <c r="IB19" i="28"/>
  <c r="HX19" i="28" s="1"/>
  <c r="GI19" i="28"/>
  <c r="FE19" i="28"/>
  <c r="FA19" i="28" s="1"/>
  <c r="FT19" i="28"/>
  <c r="IV23" i="28"/>
  <c r="GN23" i="28"/>
  <c r="IG23" i="28"/>
  <c r="FY23" i="28"/>
  <c r="FJ23" i="28"/>
  <c r="HR23" i="28"/>
  <c r="HC23" i="28"/>
  <c r="FU20" i="28"/>
  <c r="GY20" i="28"/>
  <c r="IR20" i="28"/>
  <c r="FF20" i="28"/>
  <c r="HN20" i="28"/>
  <c r="GJ20" i="28"/>
  <c r="IC20" i="28"/>
  <c r="EG14" i="28"/>
  <c r="GG19" i="28"/>
  <c r="BE40" i="28"/>
  <c r="BU39" i="28"/>
  <c r="FR19" i="28"/>
  <c r="FD138" i="28"/>
  <c r="JH18" i="20"/>
  <c r="JI18" i="20" s="1"/>
  <c r="CF19" i="28"/>
  <c r="BY19" i="28"/>
  <c r="CG19" i="28"/>
  <c r="CH19" i="28"/>
  <c r="CC20" i="28"/>
  <c r="CC45" i="28" s="1"/>
  <c r="CC47" i="28" s="1"/>
  <c r="HK20" i="28"/>
  <c r="CD20" i="28"/>
  <c r="CD45" i="28" s="1"/>
  <c r="CD47" i="28" s="1"/>
  <c r="HZ20" i="28"/>
  <c r="AB6" i="28"/>
  <c r="BA22" i="28"/>
  <c r="BC21" i="28"/>
  <c r="BC43" i="28"/>
  <c r="BQ22" i="28"/>
  <c r="BS21" i="28"/>
  <c r="IP24" i="20"/>
  <c r="CB24" i="20"/>
  <c r="IA24" i="20"/>
  <c r="AY25" i="20"/>
  <c r="AJ10" i="28"/>
  <c r="BK24" i="20"/>
  <c r="BJ25" i="20"/>
  <c r="AF10" i="28"/>
  <c r="BV26" i="20"/>
  <c r="BS26" i="20"/>
  <c r="BR27" i="20"/>
  <c r="BL38" i="28"/>
  <c r="AB6" i="20"/>
  <c r="HZ20" i="20"/>
  <c r="AB8" i="20"/>
  <c r="GV20" i="20"/>
  <c r="HK20" i="20"/>
  <c r="CE20" i="20"/>
  <c r="CE45" i="20" s="1"/>
  <c r="CE47" i="20" s="1"/>
  <c r="CC20" i="20"/>
  <c r="CC45" i="20" s="1"/>
  <c r="CC47" i="20" s="1"/>
  <c r="CD20" i="20"/>
  <c r="CD45" i="20" s="1"/>
  <c r="CD47" i="20" s="1"/>
  <c r="BC43" i="20"/>
  <c r="BJ25" i="28"/>
  <c r="BJ26" i="28" s="1"/>
  <c r="BJ27" i="28" s="1"/>
  <c r="BJ28" i="28" s="1"/>
  <c r="BJ29" i="28" s="1"/>
  <c r="BJ30" i="28" s="1"/>
  <c r="BJ31" i="28" s="1"/>
  <c r="BJ32" i="28" s="1"/>
  <c r="BJ33" i="28" s="1"/>
  <c r="BJ34" i="28" s="1"/>
  <c r="BJ35" i="28" s="1"/>
  <c r="BJ36" i="28" s="1"/>
  <c r="BJ37" i="28" s="1"/>
  <c r="BJ38" i="28" s="1"/>
  <c r="BJ39" i="28" s="1"/>
  <c r="BJ40" i="28" s="1"/>
  <c r="CB26" i="28"/>
  <c r="IP26" i="28"/>
  <c r="AY27" i="28"/>
  <c r="FA134" i="20"/>
  <c r="AF6" i="28"/>
  <c r="BK43" i="28"/>
  <c r="CE20" i="28"/>
  <c r="CE45" i="28" s="1"/>
  <c r="CE47" i="28" s="1"/>
  <c r="GV20" i="28"/>
  <c r="BG23" i="28"/>
  <c r="BF24" i="28"/>
  <c r="BW23" i="28"/>
  <c r="BV24" i="28"/>
  <c r="BA22" i="20"/>
  <c r="BC21" i="20"/>
  <c r="BI22" i="28"/>
  <c r="BK21" i="28"/>
  <c r="AZ37" i="20"/>
  <c r="IA36" i="20"/>
  <c r="DE18" i="20"/>
  <c r="DN18" i="20" s="1"/>
  <c r="DF18" i="20"/>
  <c r="DG18" i="20" s="1"/>
  <c r="DM18" i="20" s="1"/>
  <c r="BN24" i="20"/>
  <c r="BB27" i="20"/>
  <c r="BM21" i="28"/>
  <c r="BO20" i="28"/>
  <c r="FA133" i="28"/>
  <c r="AZ24" i="28"/>
  <c r="GH23" i="28"/>
  <c r="HL23" i="28"/>
  <c r="IA23" i="28"/>
  <c r="FD23" i="28"/>
  <c r="FS23" i="28"/>
  <c r="BX23" i="28"/>
  <c r="GW23" i="28"/>
  <c r="BG22" i="20"/>
  <c r="BF23" i="20"/>
  <c r="BR24" i="28"/>
  <c r="AL6" i="20"/>
  <c r="AL8" i="20"/>
  <c r="BW43" i="20"/>
  <c r="AB10" i="28"/>
  <c r="BN23" i="28"/>
  <c r="GE19" i="20"/>
  <c r="BU22" i="20"/>
  <c r="BW21" i="20"/>
  <c r="AJ6" i="28"/>
  <c r="BS43" i="28"/>
  <c r="BB24" i="28"/>
  <c r="FC134" i="28"/>
  <c r="GE18" i="28"/>
  <c r="EE17" i="20"/>
  <c r="EF17" i="20"/>
  <c r="FD139" i="35" l="1"/>
  <c r="FC22" i="35"/>
  <c r="BQ25" i="35"/>
  <c r="BS24" i="35"/>
  <c r="BV25" i="35"/>
  <c r="BW24" i="35"/>
  <c r="BJ27" i="35"/>
  <c r="BK26" i="35"/>
  <c r="CD22" i="35"/>
  <c r="CF22" i="35"/>
  <c r="CE22" i="35"/>
  <c r="GG22" i="35"/>
  <c r="BE24" i="35"/>
  <c r="BG23" i="35"/>
  <c r="FC23" i="35" s="1"/>
  <c r="GV22" i="35"/>
  <c r="HK22" i="35"/>
  <c r="BO24" i="35"/>
  <c r="BN25" i="35"/>
  <c r="CH22" i="35"/>
  <c r="HZ23" i="35"/>
  <c r="FR22" i="35"/>
  <c r="BB25" i="35"/>
  <c r="BC24" i="35"/>
  <c r="CC24" i="35" s="1"/>
  <c r="BF27" i="35"/>
  <c r="BY22" i="35"/>
  <c r="HL24" i="35"/>
  <c r="GW24" i="35"/>
  <c r="GH24" i="35"/>
  <c r="BX24" i="35"/>
  <c r="IA24" i="35"/>
  <c r="AY25" i="35"/>
  <c r="IP24" i="35"/>
  <c r="CB24" i="35"/>
  <c r="FD24" i="35"/>
  <c r="FS24" i="35"/>
  <c r="FD140" i="35" s="1"/>
  <c r="FC135" i="20"/>
  <c r="FE138" i="20"/>
  <c r="FH140" i="20"/>
  <c r="FF136" i="20"/>
  <c r="FF138" i="20"/>
  <c r="FI141" i="20"/>
  <c r="FI139" i="35"/>
  <c r="FJ142" i="20"/>
  <c r="FD137" i="20"/>
  <c r="FK143" i="20"/>
  <c r="FE136" i="20"/>
  <c r="FG139" i="20"/>
  <c r="FF137" i="20"/>
  <c r="FE137" i="20"/>
  <c r="FF136" i="35"/>
  <c r="FG137" i="35"/>
  <c r="FH137" i="35"/>
  <c r="JS18" i="35"/>
  <c r="JT18" i="35" s="1"/>
  <c r="BD23" i="20"/>
  <c r="GW22" i="20"/>
  <c r="GH22" i="20"/>
  <c r="BX22" i="20"/>
  <c r="FD22" i="20"/>
  <c r="FS22" i="20"/>
  <c r="HL22" i="20"/>
  <c r="CN31" i="20"/>
  <c r="AP32" i="20"/>
  <c r="CB31" i="20"/>
  <c r="IZ18" i="35"/>
  <c r="JR19" i="20"/>
  <c r="JS19" i="20" s="1"/>
  <c r="BU27" i="35"/>
  <c r="FJ140" i="35"/>
  <c r="JP19" i="28"/>
  <c r="JQ19" i="28" s="1"/>
  <c r="FG22" i="35"/>
  <c r="FV22" i="35"/>
  <c r="HO22" i="35"/>
  <c r="GZ22" i="35"/>
  <c r="ID22" i="35"/>
  <c r="IS22" i="35"/>
  <c r="GK22" i="35"/>
  <c r="IG25" i="35"/>
  <c r="HR25" i="35"/>
  <c r="GN25" i="35"/>
  <c r="FY25" i="35"/>
  <c r="HC25" i="35"/>
  <c r="FJ25" i="35"/>
  <c r="IV25" i="35"/>
  <c r="EO23" i="35"/>
  <c r="EP24" i="35"/>
  <c r="DV23" i="35"/>
  <c r="EN23" i="35" s="1"/>
  <c r="CS23" i="35"/>
  <c r="EG15" i="35"/>
  <c r="CR24" i="35"/>
  <c r="DW24" i="35"/>
  <c r="EO24" i="35" s="1"/>
  <c r="DX25" i="35"/>
  <c r="EP25" i="35" s="1"/>
  <c r="CQ25" i="35"/>
  <c r="EH16" i="35"/>
  <c r="FA134" i="35"/>
  <c r="D57" i="34" s="1"/>
  <c r="DF15" i="35"/>
  <c r="DG15" i="35" s="1"/>
  <c r="DM15" i="35" s="1"/>
  <c r="DE15" i="35"/>
  <c r="DN15" i="35" s="1"/>
  <c r="EJ18" i="35"/>
  <c r="HP22" i="35"/>
  <c r="FW22" i="35"/>
  <c r="IT22" i="35"/>
  <c r="HA22" i="35"/>
  <c r="IE22" i="35"/>
  <c r="GL22" i="35"/>
  <c r="FH22" i="35"/>
  <c r="DD16" i="35"/>
  <c r="DC16" i="35"/>
  <c r="DO16" i="35" s="1"/>
  <c r="EG16" i="35" s="1"/>
  <c r="CY18" i="35"/>
  <c r="DQ18" i="35" s="1"/>
  <c r="EI18" i="35" s="1"/>
  <c r="CZ18" i="35"/>
  <c r="CU21" i="35"/>
  <c r="DT21" i="35"/>
  <c r="EL21" i="35" s="1"/>
  <c r="GX19" i="35"/>
  <c r="GT19" i="35" s="1"/>
  <c r="JM19" i="35" s="1"/>
  <c r="JN19" i="35" s="1"/>
  <c r="GI19" i="35"/>
  <c r="GE19" i="35" s="1"/>
  <c r="JK19" i="35" s="1"/>
  <c r="JL19" i="35" s="1"/>
  <c r="HM19" i="35"/>
  <c r="HI19" i="35" s="1"/>
  <c r="JO19" i="35" s="1"/>
  <c r="JP19" i="35" s="1"/>
  <c r="IQ19" i="35"/>
  <c r="IM19" i="35" s="1"/>
  <c r="IB19" i="35"/>
  <c r="HX19" i="35" s="1"/>
  <c r="JQ19" i="35" s="1"/>
  <c r="JR19" i="35" s="1"/>
  <c r="FE19" i="35"/>
  <c r="FA19" i="35" s="1"/>
  <c r="JG19" i="35" s="1"/>
  <c r="JH19" i="35" s="1"/>
  <c r="FT19" i="35"/>
  <c r="JI17" i="35"/>
  <c r="JJ17" i="35" s="1"/>
  <c r="JA17" i="35" s="1"/>
  <c r="HS25" i="35"/>
  <c r="HD25" i="35"/>
  <c r="GO25" i="35"/>
  <c r="IW25" i="35"/>
  <c r="FK25" i="35"/>
  <c r="IH25" i="35"/>
  <c r="FZ25" i="35"/>
  <c r="CP26" i="35"/>
  <c r="DY26" i="35"/>
  <c r="EQ26" i="35" s="1"/>
  <c r="FF21" i="35"/>
  <c r="GJ21" i="35"/>
  <c r="GY21" i="35"/>
  <c r="IC21" i="35"/>
  <c r="HN21" i="35"/>
  <c r="IR21" i="35"/>
  <c r="FU21" i="35"/>
  <c r="CO27" i="35"/>
  <c r="DZ27" i="35"/>
  <c r="ER27" i="35" s="1"/>
  <c r="FK26" i="35"/>
  <c r="FZ26" i="35"/>
  <c r="GO26" i="35"/>
  <c r="IW26" i="35"/>
  <c r="HD26" i="35"/>
  <c r="HS26" i="35"/>
  <c r="IH26" i="35"/>
  <c r="CT22" i="35"/>
  <c r="DU22" i="35"/>
  <c r="EM22" i="35" s="1"/>
  <c r="DS20" i="35"/>
  <c r="EK20" i="35" s="1"/>
  <c r="CV20" i="35"/>
  <c r="DB17" i="35"/>
  <c r="DA17" i="35"/>
  <c r="DP17" i="35" s="1"/>
  <c r="CB28" i="35"/>
  <c r="CN28" i="35"/>
  <c r="AP29" i="35"/>
  <c r="CX19" i="35"/>
  <c r="CW19" i="35"/>
  <c r="DR19" i="35" s="1"/>
  <c r="EJ19" i="35" s="1"/>
  <c r="EL20" i="35"/>
  <c r="EE14" i="35"/>
  <c r="EC14" i="35" s="1"/>
  <c r="JJ18" i="20"/>
  <c r="JK18" i="20" s="1"/>
  <c r="JA18" i="20" s="1"/>
  <c r="BY20" i="20"/>
  <c r="Y6" i="20" s="1"/>
  <c r="Z11" i="20" s="1"/>
  <c r="FR20" i="20"/>
  <c r="FP20" i="20" s="1"/>
  <c r="FC20" i="20"/>
  <c r="FA20" i="20" s="1"/>
  <c r="JF20" i="20" s="1"/>
  <c r="JG20" i="20" s="1"/>
  <c r="CH20" i="20"/>
  <c r="CH45" i="20" s="1"/>
  <c r="CH47" i="20" s="1"/>
  <c r="GG20" i="20"/>
  <c r="GE20" i="20" s="1"/>
  <c r="CF20" i="20"/>
  <c r="CF45" i="20" s="1"/>
  <c r="CF47" i="20" s="1"/>
  <c r="JT18" i="28"/>
  <c r="JU18" i="28" s="1"/>
  <c r="JN19" i="28"/>
  <c r="JO19" i="28" s="1"/>
  <c r="JR19" i="28"/>
  <c r="JS19" i="28" s="1"/>
  <c r="HL28" i="35"/>
  <c r="IA28" i="35"/>
  <c r="GW28" i="35"/>
  <c r="GH28" i="35"/>
  <c r="AH6" i="20"/>
  <c r="AH8" i="20"/>
  <c r="BM22" i="20"/>
  <c r="BO21" i="20"/>
  <c r="BY21" i="20" s="1"/>
  <c r="BO43" i="20"/>
  <c r="CG43" i="20" s="1"/>
  <c r="FS28" i="35"/>
  <c r="FD28" i="35"/>
  <c r="AZ29" i="35"/>
  <c r="BX28" i="35"/>
  <c r="JL17" i="28"/>
  <c r="JM17" i="28" s="1"/>
  <c r="JB17" i="28" s="1"/>
  <c r="BR31" i="35"/>
  <c r="FC135" i="28"/>
  <c r="FI139" i="28"/>
  <c r="ER28" i="20"/>
  <c r="CP28" i="20"/>
  <c r="DY28" i="20"/>
  <c r="EQ28" i="20" s="1"/>
  <c r="IU26" i="20"/>
  <c r="HB26" i="20"/>
  <c r="FX26" i="20"/>
  <c r="FI26" i="20"/>
  <c r="HQ26" i="20"/>
  <c r="GM26" i="20"/>
  <c r="IF26" i="20"/>
  <c r="CR26" i="20"/>
  <c r="DW26" i="20"/>
  <c r="EO26" i="20" s="1"/>
  <c r="EN24" i="20"/>
  <c r="HA25" i="20"/>
  <c r="FH25" i="20"/>
  <c r="IE25" i="20"/>
  <c r="GL25" i="20"/>
  <c r="HP25" i="20"/>
  <c r="IT25" i="20"/>
  <c r="FW25" i="20"/>
  <c r="EQ27" i="20"/>
  <c r="CT24" i="20"/>
  <c r="DU24" i="20"/>
  <c r="EM24" i="20" s="1"/>
  <c r="CS25" i="20"/>
  <c r="DV25" i="20"/>
  <c r="CQ27" i="20"/>
  <c r="DX27" i="20"/>
  <c r="EP27" i="20" s="1"/>
  <c r="EM23" i="20"/>
  <c r="CO29" i="20"/>
  <c r="DZ29" i="20"/>
  <c r="ER29" i="20" s="1"/>
  <c r="DT23" i="20"/>
  <c r="EL23" i="20" s="1"/>
  <c r="CU23" i="20"/>
  <c r="CN30" i="20"/>
  <c r="CB30" i="20"/>
  <c r="FJ139" i="28"/>
  <c r="FJ140" i="28"/>
  <c r="FH138" i="28"/>
  <c r="CY21" i="20"/>
  <c r="DQ21" i="20" s="1"/>
  <c r="FG137" i="28"/>
  <c r="FF136" i="28"/>
  <c r="FE135" i="28"/>
  <c r="IM22" i="20"/>
  <c r="DC19" i="20"/>
  <c r="DO19" i="20" s="1"/>
  <c r="EG19" i="20" s="1"/>
  <c r="FP19" i="28"/>
  <c r="JJ19" i="28" s="1"/>
  <c r="JK19" i="28" s="1"/>
  <c r="IM21" i="20"/>
  <c r="HI20" i="20"/>
  <c r="JN20" i="20" s="1"/>
  <c r="JO20" i="20" s="1"/>
  <c r="HX20" i="20"/>
  <c r="JP20" i="20" s="1"/>
  <c r="JQ20" i="20" s="1"/>
  <c r="CW20" i="20"/>
  <c r="DR20" i="20" s="1"/>
  <c r="EJ20" i="20" s="1"/>
  <c r="EI19" i="20"/>
  <c r="DB20" i="20"/>
  <c r="DD20" i="20" s="1"/>
  <c r="CY20" i="20"/>
  <c r="DQ20" i="20" s="1"/>
  <c r="GT20" i="20"/>
  <c r="JL20" i="20" s="1"/>
  <c r="JM20" i="20" s="1"/>
  <c r="IM20" i="20"/>
  <c r="EE14" i="28"/>
  <c r="GE19" i="28"/>
  <c r="JH19" i="28"/>
  <c r="JI19" i="28" s="1"/>
  <c r="GM24" i="28"/>
  <c r="HQ24" i="28"/>
  <c r="FI24" i="28"/>
  <c r="FX24" i="28"/>
  <c r="HB24" i="28"/>
  <c r="IU24" i="28"/>
  <c r="IF24" i="28"/>
  <c r="CS23" i="28"/>
  <c r="DV23" i="28"/>
  <c r="EN23" i="28" s="1"/>
  <c r="IW25" i="28"/>
  <c r="HD25" i="28"/>
  <c r="IH25" i="28"/>
  <c r="HS25" i="28"/>
  <c r="GO25" i="28"/>
  <c r="FZ25" i="28"/>
  <c r="FK25" i="28"/>
  <c r="GZ22" i="28"/>
  <c r="ID22" i="28"/>
  <c r="GK22" i="28"/>
  <c r="FG22" i="28"/>
  <c r="FV22" i="28"/>
  <c r="HO22" i="28"/>
  <c r="IS22" i="28"/>
  <c r="EJ18" i="28"/>
  <c r="DF15" i="28"/>
  <c r="DG15" i="28" s="1"/>
  <c r="DM15" i="28" s="1"/>
  <c r="DE15" i="28"/>
  <c r="DN15" i="28" s="1"/>
  <c r="EF15" i="28" s="1"/>
  <c r="CT22" i="28"/>
  <c r="DU22" i="28"/>
  <c r="EM22" i="28" s="1"/>
  <c r="EG15" i="28"/>
  <c r="JA19" i="28"/>
  <c r="EC13" i="28"/>
  <c r="CN28" i="28"/>
  <c r="AP29" i="28"/>
  <c r="CB28" i="28"/>
  <c r="DB17" i="28"/>
  <c r="DA17" i="28"/>
  <c r="DP17" i="28" s="1"/>
  <c r="EH17" i="28" s="1"/>
  <c r="CX19" i="28"/>
  <c r="CW19" i="28"/>
  <c r="DR19" i="28" s="1"/>
  <c r="CO27" i="28"/>
  <c r="DZ27" i="28"/>
  <c r="ER27" i="28" s="1"/>
  <c r="DS20" i="28"/>
  <c r="EK20" i="28" s="1"/>
  <c r="CV20" i="28"/>
  <c r="EM21" i="28"/>
  <c r="CZ18" i="28"/>
  <c r="CY18" i="28"/>
  <c r="DQ18" i="28" s="1"/>
  <c r="EI18" i="28" s="1"/>
  <c r="EI17" i="28"/>
  <c r="GO26" i="28"/>
  <c r="IH26" i="28"/>
  <c r="FZ26" i="28"/>
  <c r="IW26" i="28"/>
  <c r="FK26" i="28"/>
  <c r="HS26" i="28"/>
  <c r="HD26" i="28"/>
  <c r="GX20" i="28"/>
  <c r="GT20" i="28" s="1"/>
  <c r="GI20" i="28"/>
  <c r="FE20" i="28"/>
  <c r="IB20" i="28"/>
  <c r="HX20" i="28" s="1"/>
  <c r="HM20" i="28"/>
  <c r="HI20" i="28" s="1"/>
  <c r="IQ20" i="28"/>
  <c r="IM20" i="28" s="1"/>
  <c r="FT20" i="28"/>
  <c r="DT21" i="28"/>
  <c r="EL21" i="28" s="1"/>
  <c r="CU21" i="28"/>
  <c r="EF14" i="28"/>
  <c r="DD16" i="28"/>
  <c r="DC16" i="28"/>
  <c r="DO16" i="28" s="1"/>
  <c r="CP26" i="28"/>
  <c r="DY26" i="28"/>
  <c r="EQ26" i="28" s="1"/>
  <c r="DW24" i="28"/>
  <c r="EO24" i="28" s="1"/>
  <c r="CR24" i="28"/>
  <c r="EO23" i="28"/>
  <c r="FJ25" i="28"/>
  <c r="FY25" i="28"/>
  <c r="GN25" i="28"/>
  <c r="IG25" i="28"/>
  <c r="IV25" i="28"/>
  <c r="HR25" i="28"/>
  <c r="HC25" i="28"/>
  <c r="DX25" i="28"/>
  <c r="EP25" i="28" s="1"/>
  <c r="CQ25" i="28"/>
  <c r="BU40" i="28"/>
  <c r="FD139" i="28"/>
  <c r="JH19" i="20"/>
  <c r="JI19" i="20" s="1"/>
  <c r="BA23" i="28"/>
  <c r="BC22" i="28"/>
  <c r="HK21" i="28"/>
  <c r="CD21" i="28"/>
  <c r="CC21" i="28"/>
  <c r="HZ21" i="28"/>
  <c r="CE43" i="28"/>
  <c r="CD43" i="28"/>
  <c r="EC17" i="20"/>
  <c r="DA21" i="20"/>
  <c r="DP21" i="20" s="1"/>
  <c r="DB21" i="20"/>
  <c r="AH6" i="28"/>
  <c r="BO43" i="28"/>
  <c r="CH43" i="28" s="1"/>
  <c r="BY20" i="28"/>
  <c r="FA135" i="20"/>
  <c r="BM22" i="28"/>
  <c r="BO21" i="28"/>
  <c r="BY21" i="28" s="1"/>
  <c r="EF18" i="20"/>
  <c r="EE18" i="20"/>
  <c r="GV21" i="28"/>
  <c r="CE21" i="28"/>
  <c r="BW24" i="28"/>
  <c r="BV25" i="28"/>
  <c r="FC20" i="28"/>
  <c r="BQ23" i="28"/>
  <c r="BS22" i="28"/>
  <c r="FA134" i="28"/>
  <c r="AZ25" i="28"/>
  <c r="AZ26" i="28" s="1"/>
  <c r="AZ27" i="28" s="1"/>
  <c r="AZ28" i="28" s="1"/>
  <c r="HL24" i="28"/>
  <c r="IA24" i="28"/>
  <c r="BX24" i="28"/>
  <c r="GH24" i="28"/>
  <c r="FS24" i="28"/>
  <c r="FD24" i="28"/>
  <c r="GW24" i="28"/>
  <c r="AZ38" i="20"/>
  <c r="IA37" i="20"/>
  <c r="BI23" i="28"/>
  <c r="BK22" i="28"/>
  <c r="GG20" i="28"/>
  <c r="CF43" i="28"/>
  <c r="CE43" i="20"/>
  <c r="CD43" i="20"/>
  <c r="CF43" i="20"/>
  <c r="AH10" i="28"/>
  <c r="BR25" i="28"/>
  <c r="BR26" i="28" s="1"/>
  <c r="BR27" i="28" s="1"/>
  <c r="BR28" i="28" s="1"/>
  <c r="BR29" i="28" s="1"/>
  <c r="BR30" i="28" s="1"/>
  <c r="BR31" i="28" s="1"/>
  <c r="BR32" i="28" s="1"/>
  <c r="BR33" i="28" s="1"/>
  <c r="BR34" i="28" s="1"/>
  <c r="BR35" i="28" s="1"/>
  <c r="BR36" i="28" s="1"/>
  <c r="BR37" i="28" s="1"/>
  <c r="BR38" i="28" s="1"/>
  <c r="BR39" i="28" s="1"/>
  <c r="BR40" i="28" s="1"/>
  <c r="BB28" i="20"/>
  <c r="BG24" i="28"/>
  <c r="BF25" i="28"/>
  <c r="CG20" i="28"/>
  <c r="CG45" i="28" s="1"/>
  <c r="CG47" i="28" s="1"/>
  <c r="BS27" i="20"/>
  <c r="BR28" i="20"/>
  <c r="BK25" i="20"/>
  <c r="BJ26" i="20"/>
  <c r="BU23" i="20"/>
  <c r="BW22" i="20"/>
  <c r="BN24" i="28"/>
  <c r="HZ21" i="20"/>
  <c r="HX21" i="20" s="1"/>
  <c r="GV21" i="20"/>
  <c r="GT21" i="20" s="1"/>
  <c r="HK21" i="20"/>
  <c r="HI21" i="20" s="1"/>
  <c r="CD21" i="20"/>
  <c r="CC21" i="20"/>
  <c r="CE21" i="20"/>
  <c r="CW21" i="20"/>
  <c r="DR21" i="20" s="1"/>
  <c r="EJ21" i="20" s="1"/>
  <c r="CF20" i="28"/>
  <c r="CF45" i="28" s="1"/>
  <c r="CF47" i="28" s="1"/>
  <c r="BB25" i="28"/>
  <c r="BB26" i="28" s="1"/>
  <c r="BB27" i="28" s="1"/>
  <c r="BB28" i="28" s="1"/>
  <c r="BB29" i="28" s="1"/>
  <c r="BB30" i="28" s="1"/>
  <c r="BB31" i="28" s="1"/>
  <c r="BB32" i="28" s="1"/>
  <c r="BB33" i="28" s="1"/>
  <c r="BB34" i="28" s="1"/>
  <c r="BB35" i="28" s="1"/>
  <c r="BB36" i="28" s="1"/>
  <c r="BB37" i="28" s="1"/>
  <c r="BB38" i="28" s="1"/>
  <c r="BB39" i="28" s="1"/>
  <c r="BB40" i="28" s="1"/>
  <c r="BN25" i="20"/>
  <c r="BA23" i="20"/>
  <c r="BC22" i="20"/>
  <c r="CY22" i="20" s="1"/>
  <c r="DQ22" i="20" s="1"/>
  <c r="CH20" i="28"/>
  <c r="CH45" i="28" s="1"/>
  <c r="CH47" i="28" s="1"/>
  <c r="CB27" i="28"/>
  <c r="IP27" i="28"/>
  <c r="AY42" i="28"/>
  <c r="BL39" i="28"/>
  <c r="DF19" i="20"/>
  <c r="DG19" i="20" s="1"/>
  <c r="DM19" i="20" s="1"/>
  <c r="DE19" i="20"/>
  <c r="DN19" i="20" s="1"/>
  <c r="AN10" i="28"/>
  <c r="Y10" i="28"/>
  <c r="BG23" i="20"/>
  <c r="BF24" i="20"/>
  <c r="FR20" i="28"/>
  <c r="BV27" i="20"/>
  <c r="CZ22" i="20"/>
  <c r="IP25" i="20"/>
  <c r="CB25" i="20"/>
  <c r="IA25" i="20"/>
  <c r="AY26" i="20"/>
  <c r="CH23" i="35" l="1"/>
  <c r="CD23" i="35"/>
  <c r="BY23" i="35"/>
  <c r="CG23" i="35"/>
  <c r="FR23" i="35"/>
  <c r="FC138" i="35"/>
  <c r="GG23" i="35"/>
  <c r="HK23" i="35"/>
  <c r="BQ26" i="35"/>
  <c r="BS25" i="35"/>
  <c r="BN26" i="35"/>
  <c r="BO25" i="35"/>
  <c r="IA25" i="35"/>
  <c r="FD25" i="35"/>
  <c r="GH25" i="35"/>
  <c r="FS25" i="35"/>
  <c r="IP25" i="35"/>
  <c r="BX25" i="35"/>
  <c r="AY26" i="35"/>
  <c r="GW25" i="35"/>
  <c r="CB25" i="35"/>
  <c r="HL25" i="35"/>
  <c r="BF28" i="35"/>
  <c r="HZ24" i="35"/>
  <c r="BJ28" i="35"/>
  <c r="BK27" i="35"/>
  <c r="BC25" i="35"/>
  <c r="BB26" i="35"/>
  <c r="CE23" i="35"/>
  <c r="CF23" i="35"/>
  <c r="GV23" i="35"/>
  <c r="FC139" i="35" s="1"/>
  <c r="BE25" i="35"/>
  <c r="BG24" i="35"/>
  <c r="HK24" i="35" s="1"/>
  <c r="BV26" i="35"/>
  <c r="BW25" i="35"/>
  <c r="FH141" i="20"/>
  <c r="FJ141" i="35"/>
  <c r="FI142" i="20"/>
  <c r="FK142" i="35"/>
  <c r="FD138" i="20"/>
  <c r="FG138" i="35"/>
  <c r="FF137" i="35"/>
  <c r="FH138" i="35"/>
  <c r="FK141" i="35"/>
  <c r="BD24" i="20"/>
  <c r="GH23" i="20"/>
  <c r="FD23" i="20"/>
  <c r="FS23" i="20"/>
  <c r="GW23" i="20"/>
  <c r="HL23" i="20"/>
  <c r="BX23" i="20"/>
  <c r="CN32" i="20"/>
  <c r="AP33" i="20"/>
  <c r="CB32" i="20"/>
  <c r="CO31" i="20"/>
  <c r="DZ31" i="20"/>
  <c r="ER31" i="20" s="1"/>
  <c r="FC21" i="20"/>
  <c r="FA21" i="20" s="1"/>
  <c r="JF21" i="20" s="1"/>
  <c r="JG21" i="20" s="1"/>
  <c r="JR20" i="20"/>
  <c r="JR21" i="20" s="1"/>
  <c r="FC136" i="20"/>
  <c r="GG21" i="20"/>
  <c r="JJ19" i="20"/>
  <c r="JK19" i="20" s="1"/>
  <c r="JA19" i="20" s="1"/>
  <c r="CH21" i="20"/>
  <c r="FR21" i="20"/>
  <c r="FP21" i="20" s="1"/>
  <c r="CF21" i="20"/>
  <c r="CG21" i="20"/>
  <c r="BU28" i="35"/>
  <c r="FD144" i="35"/>
  <c r="EE15" i="35"/>
  <c r="FH24" i="35"/>
  <c r="FW24" i="35"/>
  <c r="GL24" i="35"/>
  <c r="HP24" i="35"/>
  <c r="IT24" i="35"/>
  <c r="HA24" i="35"/>
  <c r="IE24" i="35"/>
  <c r="DZ28" i="35"/>
  <c r="ER28" i="35" s="1"/>
  <c r="CO28" i="35"/>
  <c r="CP27" i="35"/>
  <c r="DY27" i="35"/>
  <c r="EQ27" i="35" s="1"/>
  <c r="FJ26" i="35"/>
  <c r="FY26" i="35"/>
  <c r="GN26" i="35"/>
  <c r="IV26" i="35"/>
  <c r="HC26" i="35"/>
  <c r="HR26" i="35"/>
  <c r="IG26" i="35"/>
  <c r="HO23" i="35"/>
  <c r="IS23" i="35"/>
  <c r="GZ23" i="35"/>
  <c r="FG23" i="35"/>
  <c r="FV23" i="35"/>
  <c r="ID23" i="35"/>
  <c r="GK23" i="35"/>
  <c r="CQ26" i="35"/>
  <c r="DX26" i="35"/>
  <c r="EP26" i="35" s="1"/>
  <c r="IQ21" i="35"/>
  <c r="IM21" i="35" s="1"/>
  <c r="IB21" i="35"/>
  <c r="HX21" i="35" s="1"/>
  <c r="GI21" i="35"/>
  <c r="GE21" i="35" s="1"/>
  <c r="HM21" i="35"/>
  <c r="HI21" i="35" s="1"/>
  <c r="FT21" i="35"/>
  <c r="GX21" i="35"/>
  <c r="GT21" i="35" s="1"/>
  <c r="FE21" i="35"/>
  <c r="FA21" i="35" s="1"/>
  <c r="DV24" i="35"/>
  <c r="EN24" i="35" s="1"/>
  <c r="CS24" i="35"/>
  <c r="HA23" i="35"/>
  <c r="IE23" i="35"/>
  <c r="GL23" i="35"/>
  <c r="HP23" i="35"/>
  <c r="IT23" i="35"/>
  <c r="FH23" i="35"/>
  <c r="FW23" i="35"/>
  <c r="EH17" i="35"/>
  <c r="FP19" i="35"/>
  <c r="FE135" i="35"/>
  <c r="CV21" i="35"/>
  <c r="DS21" i="35"/>
  <c r="EK21" i="35" s="1"/>
  <c r="JI18" i="35"/>
  <c r="JJ18" i="35" s="1"/>
  <c r="JA18" i="35" s="1"/>
  <c r="EF15" i="35"/>
  <c r="DD17" i="35"/>
  <c r="DC17" i="35"/>
  <c r="DO17" i="35" s="1"/>
  <c r="DB18" i="35"/>
  <c r="DA18" i="35"/>
  <c r="DP18" i="35" s="1"/>
  <c r="IQ20" i="35"/>
  <c r="IM20" i="35" s="1"/>
  <c r="GI20" i="35"/>
  <c r="GE20" i="35" s="1"/>
  <c r="JK20" i="35" s="1"/>
  <c r="JL20" i="35" s="1"/>
  <c r="FE20" i="35"/>
  <c r="FA20" i="35" s="1"/>
  <c r="JG20" i="35" s="1"/>
  <c r="JH20" i="35" s="1"/>
  <c r="FT20" i="35"/>
  <c r="IB20" i="35"/>
  <c r="HX20" i="35" s="1"/>
  <c r="JQ20" i="35" s="1"/>
  <c r="JR20" i="35" s="1"/>
  <c r="HM20" i="35"/>
  <c r="HI20" i="35" s="1"/>
  <c r="JO20" i="35" s="1"/>
  <c r="JP20" i="35" s="1"/>
  <c r="GX20" i="35"/>
  <c r="GT20" i="35" s="1"/>
  <c r="JM20" i="35" s="1"/>
  <c r="JN20" i="35" s="1"/>
  <c r="CW20" i="35"/>
  <c r="DR20" i="35" s="1"/>
  <c r="EJ20" i="35" s="1"/>
  <c r="CX20" i="35"/>
  <c r="CT23" i="35"/>
  <c r="DU23" i="35"/>
  <c r="EM23" i="35" s="1"/>
  <c r="IZ19" i="35"/>
  <c r="JS19" i="35"/>
  <c r="JT19" i="35" s="1"/>
  <c r="CZ19" i="35"/>
  <c r="CY19" i="35"/>
  <c r="DQ19" i="35" s="1"/>
  <c r="GY22" i="35"/>
  <c r="GJ22" i="35"/>
  <c r="IR22" i="35"/>
  <c r="FF22" i="35"/>
  <c r="IC22" i="35"/>
  <c r="FU22" i="35"/>
  <c r="HN22" i="35"/>
  <c r="DF16" i="35"/>
  <c r="DG16" i="35" s="1"/>
  <c r="DM16" i="35" s="1"/>
  <c r="DE16" i="35"/>
  <c r="DN16" i="35" s="1"/>
  <c r="CR25" i="35"/>
  <c r="DW25" i="35"/>
  <c r="AP30" i="35"/>
  <c r="AP31" i="35" s="1"/>
  <c r="CN29" i="35"/>
  <c r="CB29" i="35"/>
  <c r="DT22" i="35"/>
  <c r="EL22" i="35" s="1"/>
  <c r="CU22" i="35"/>
  <c r="GO27" i="35"/>
  <c r="HD27" i="35"/>
  <c r="FK27" i="35"/>
  <c r="IW27" i="35"/>
  <c r="FZ27" i="35"/>
  <c r="IH27" i="35"/>
  <c r="HS27" i="35"/>
  <c r="IU25" i="35"/>
  <c r="IF25" i="35"/>
  <c r="FX25" i="35"/>
  <c r="GM25" i="35"/>
  <c r="FI25" i="35"/>
  <c r="HB25" i="35"/>
  <c r="HQ25" i="35"/>
  <c r="IF24" i="35"/>
  <c r="IU24" i="35"/>
  <c r="GM24" i="35"/>
  <c r="FI24" i="35"/>
  <c r="HQ24" i="35"/>
  <c r="FX24" i="35"/>
  <c r="HB24" i="35"/>
  <c r="Y8" i="20"/>
  <c r="AN6" i="20"/>
  <c r="JL21" i="20"/>
  <c r="JM21" i="20" s="1"/>
  <c r="CH43" i="20"/>
  <c r="JT19" i="28"/>
  <c r="JU19" i="28" s="1"/>
  <c r="JL18" i="28"/>
  <c r="JM18" i="28" s="1"/>
  <c r="JB18" i="28" s="1"/>
  <c r="BM23" i="20"/>
  <c r="BO22" i="20"/>
  <c r="CH22" i="20" s="1"/>
  <c r="HL29" i="35"/>
  <c r="GW29" i="35"/>
  <c r="GH29" i="35"/>
  <c r="IA29" i="35"/>
  <c r="FD29" i="35"/>
  <c r="FS29" i="35"/>
  <c r="BX29" i="35"/>
  <c r="AZ30" i="35"/>
  <c r="FA135" i="28"/>
  <c r="BR32" i="35"/>
  <c r="FK142" i="28"/>
  <c r="FI140" i="28"/>
  <c r="HM23" i="20"/>
  <c r="FE23" i="20"/>
  <c r="GI23" i="20"/>
  <c r="FT23" i="20"/>
  <c r="IB23" i="20"/>
  <c r="GX23" i="20"/>
  <c r="IQ23" i="20"/>
  <c r="HN24" i="20"/>
  <c r="FF24" i="20"/>
  <c r="GY24" i="20"/>
  <c r="GJ24" i="20"/>
  <c r="FU24" i="20"/>
  <c r="IC24" i="20"/>
  <c r="IR24" i="20"/>
  <c r="GM27" i="20"/>
  <c r="FX27" i="20"/>
  <c r="IF27" i="20"/>
  <c r="IU27" i="20"/>
  <c r="FI27" i="20"/>
  <c r="HQ27" i="20"/>
  <c r="HB27" i="20"/>
  <c r="HR28" i="20"/>
  <c r="HC28" i="20"/>
  <c r="FJ28" i="20"/>
  <c r="GN28" i="20"/>
  <c r="IV28" i="20"/>
  <c r="FY28" i="20"/>
  <c r="IG28" i="20"/>
  <c r="GJ23" i="20"/>
  <c r="FU23" i="20"/>
  <c r="IC23" i="20"/>
  <c r="GY23" i="20"/>
  <c r="HN23" i="20"/>
  <c r="FF23" i="20"/>
  <c r="IR23" i="20"/>
  <c r="FY27" i="20"/>
  <c r="FJ27" i="20"/>
  <c r="GN27" i="20"/>
  <c r="IG27" i="20"/>
  <c r="IV27" i="20"/>
  <c r="HR27" i="20"/>
  <c r="HC27" i="20"/>
  <c r="FG24" i="20"/>
  <c r="GZ24" i="20"/>
  <c r="FV24" i="20"/>
  <c r="GK24" i="20"/>
  <c r="ID24" i="20"/>
  <c r="HO24" i="20"/>
  <c r="IS24" i="20"/>
  <c r="CO30" i="20"/>
  <c r="DZ30" i="20"/>
  <c r="DW27" i="20"/>
  <c r="EO27" i="20" s="1"/>
  <c r="CR27" i="20"/>
  <c r="HP26" i="20"/>
  <c r="IT26" i="20"/>
  <c r="FH26" i="20"/>
  <c r="FW26" i="20"/>
  <c r="GL26" i="20"/>
  <c r="IE26" i="20"/>
  <c r="HA26" i="20"/>
  <c r="CV23" i="20"/>
  <c r="CX23" i="20" s="1"/>
  <c r="CZ23" i="20" s="1"/>
  <c r="DS23" i="20"/>
  <c r="EK23" i="20" s="1"/>
  <c r="EN25" i="20"/>
  <c r="CS26" i="20"/>
  <c r="DV26" i="20"/>
  <c r="EN26" i="20" s="1"/>
  <c r="CT25" i="20"/>
  <c r="DU25" i="20"/>
  <c r="EM25" i="20" s="1"/>
  <c r="DX28" i="20"/>
  <c r="EP28" i="20" s="1"/>
  <c r="CQ28" i="20"/>
  <c r="HS29" i="20"/>
  <c r="FZ29" i="20"/>
  <c r="FK29" i="20"/>
  <c r="IW29" i="20"/>
  <c r="GO29" i="20"/>
  <c r="IH29" i="20"/>
  <c r="HD29" i="20"/>
  <c r="DY29" i="20"/>
  <c r="EQ29" i="20" s="1"/>
  <c r="CP29" i="20"/>
  <c r="DT24" i="20"/>
  <c r="EL24" i="20" s="1"/>
  <c r="CU24" i="20"/>
  <c r="IW28" i="20"/>
  <c r="FZ28" i="20"/>
  <c r="GO28" i="20"/>
  <c r="FK28" i="20"/>
  <c r="HD28" i="20"/>
  <c r="IH28" i="20"/>
  <c r="HS28" i="20"/>
  <c r="DC20" i="20"/>
  <c r="DO20" i="20" s="1"/>
  <c r="EG20" i="20" s="1"/>
  <c r="IZ20" i="20"/>
  <c r="IZ21" i="20" s="1"/>
  <c r="IZ22" i="20" s="1"/>
  <c r="FK141" i="28"/>
  <c r="FJ141" i="28"/>
  <c r="FG138" i="28"/>
  <c r="FE136" i="28"/>
  <c r="JN21" i="20"/>
  <c r="JO21" i="20" s="1"/>
  <c r="EI20" i="20"/>
  <c r="JP21" i="20"/>
  <c r="JQ21" i="20" s="1"/>
  <c r="EH20" i="20"/>
  <c r="EC14" i="28"/>
  <c r="FP20" i="28"/>
  <c r="GA20" i="28" s="1"/>
  <c r="EE15" i="28"/>
  <c r="EC15" i="28" s="1"/>
  <c r="HT20" i="28"/>
  <c r="JP20" i="28"/>
  <c r="JQ20" i="28" s="1"/>
  <c r="JR20" i="28"/>
  <c r="JS20" i="28" s="1"/>
  <c r="II20" i="28"/>
  <c r="HE20" i="28"/>
  <c r="JN20" i="28"/>
  <c r="JO20" i="28" s="1"/>
  <c r="FT21" i="28"/>
  <c r="GI21" i="28"/>
  <c r="FE21" i="28"/>
  <c r="IQ21" i="28"/>
  <c r="HM21" i="28"/>
  <c r="GX21" i="28"/>
  <c r="IB21" i="28"/>
  <c r="DX26" i="28"/>
  <c r="CQ26" i="28"/>
  <c r="IX20" i="28"/>
  <c r="JA20" i="28"/>
  <c r="CX20" i="28"/>
  <c r="CW20" i="28"/>
  <c r="DR20" i="28" s="1"/>
  <c r="DD17" i="28"/>
  <c r="DC17" i="28"/>
  <c r="DO17" i="28" s="1"/>
  <c r="DE16" i="28"/>
  <c r="DN16" i="28" s="1"/>
  <c r="DF16" i="28"/>
  <c r="DG16" i="28" s="1"/>
  <c r="DM16" i="28" s="1"/>
  <c r="EG16" i="28"/>
  <c r="FZ27" i="28"/>
  <c r="IH27" i="28"/>
  <c r="FK27" i="28"/>
  <c r="HD27" i="28"/>
  <c r="HS27" i="28"/>
  <c r="IW27" i="28"/>
  <c r="GO27" i="28"/>
  <c r="GK23" i="28"/>
  <c r="IS23" i="28"/>
  <c r="FV23" i="28"/>
  <c r="ID23" i="28"/>
  <c r="HO23" i="28"/>
  <c r="FG23" i="28"/>
  <c r="GZ23" i="28"/>
  <c r="CP27" i="28"/>
  <c r="DY27" i="28"/>
  <c r="EQ27" i="28" s="1"/>
  <c r="CO28" i="28"/>
  <c r="DZ28" i="28"/>
  <c r="ER28" i="28" s="1"/>
  <c r="FA20" i="28"/>
  <c r="FL20" i="28" s="1"/>
  <c r="IT23" i="28"/>
  <c r="GL23" i="28"/>
  <c r="HA23" i="28"/>
  <c r="FW23" i="28"/>
  <c r="HP23" i="28"/>
  <c r="IE23" i="28"/>
  <c r="FH23" i="28"/>
  <c r="EJ19" i="28"/>
  <c r="DT22" i="28"/>
  <c r="EL22" i="28" s="1"/>
  <c r="CU22" i="28"/>
  <c r="GM25" i="28"/>
  <c r="IU25" i="28"/>
  <c r="HB25" i="28"/>
  <c r="FX25" i="28"/>
  <c r="HQ25" i="28"/>
  <c r="FI25" i="28"/>
  <c r="IF25" i="28"/>
  <c r="FU22" i="28"/>
  <c r="GJ22" i="28"/>
  <c r="GY22" i="28"/>
  <c r="IC22" i="28"/>
  <c r="IR22" i="28"/>
  <c r="FF22" i="28"/>
  <c r="HN22" i="28"/>
  <c r="CS24" i="28"/>
  <c r="DV24" i="28"/>
  <c r="EN24" i="28" s="1"/>
  <c r="DS21" i="28"/>
  <c r="EK21" i="28" s="1"/>
  <c r="CV21" i="28"/>
  <c r="DB18" i="28"/>
  <c r="DA18" i="28"/>
  <c r="DP18" i="28" s="1"/>
  <c r="CZ19" i="28"/>
  <c r="CY19" i="28"/>
  <c r="DQ19" i="28" s="1"/>
  <c r="EI19" i="28" s="1"/>
  <c r="GL24" i="28"/>
  <c r="FW24" i="28"/>
  <c r="IE24" i="28"/>
  <c r="FH24" i="28"/>
  <c r="HA24" i="28"/>
  <c r="IT24" i="28"/>
  <c r="HP24" i="28"/>
  <c r="CR25" i="28"/>
  <c r="DW25" i="28"/>
  <c r="EO25" i="28" s="1"/>
  <c r="CN29" i="28"/>
  <c r="AP30" i="28"/>
  <c r="CB29" i="28"/>
  <c r="HC26" i="28"/>
  <c r="GN26" i="28"/>
  <c r="IG26" i="28"/>
  <c r="HR26" i="28"/>
  <c r="FJ26" i="28"/>
  <c r="FY26" i="28"/>
  <c r="IV26" i="28"/>
  <c r="GJ21" i="28"/>
  <c r="FF21" i="28"/>
  <c r="GY21" i="28"/>
  <c r="HN21" i="28"/>
  <c r="IR21" i="28"/>
  <c r="IC21" i="28"/>
  <c r="FU21" i="28"/>
  <c r="DU23" i="28"/>
  <c r="CT23" i="28"/>
  <c r="GW27" i="28"/>
  <c r="GH27" i="28"/>
  <c r="FD27" i="28"/>
  <c r="IA27" i="28"/>
  <c r="BX27" i="28"/>
  <c r="AZ29" i="28"/>
  <c r="IA28" i="28"/>
  <c r="HL28" i="28"/>
  <c r="FS28" i="28"/>
  <c r="GH28" i="28"/>
  <c r="FD28" i="28"/>
  <c r="GW28" i="28"/>
  <c r="BX28" i="28"/>
  <c r="HL27" i="28"/>
  <c r="FS27" i="28"/>
  <c r="GH26" i="28"/>
  <c r="GW26" i="28"/>
  <c r="FS26" i="28"/>
  <c r="IA26" i="28"/>
  <c r="HL26" i="28"/>
  <c r="BX26" i="28"/>
  <c r="FD26" i="28"/>
  <c r="BG25" i="28"/>
  <c r="BF26" i="28"/>
  <c r="BW25" i="28"/>
  <c r="BV26" i="28"/>
  <c r="FD140" i="28"/>
  <c r="JH20" i="20"/>
  <c r="JI20" i="20" s="1"/>
  <c r="GG21" i="28"/>
  <c r="CG43" i="28"/>
  <c r="EI21" i="20"/>
  <c r="CD22" i="28"/>
  <c r="HZ22" i="28"/>
  <c r="HK22" i="28"/>
  <c r="CC22" i="28"/>
  <c r="FC21" i="28"/>
  <c r="BA24" i="28"/>
  <c r="BC23" i="28"/>
  <c r="EC18" i="20"/>
  <c r="CG21" i="28"/>
  <c r="CH21" i="28"/>
  <c r="BN26" i="20"/>
  <c r="DE20" i="20"/>
  <c r="DN20" i="20" s="1"/>
  <c r="DF20" i="20"/>
  <c r="DG20" i="20" s="1"/>
  <c r="DM20" i="20" s="1"/>
  <c r="DD21" i="20"/>
  <c r="DC21" i="20"/>
  <c r="DO21" i="20" s="1"/>
  <c r="EG21" i="20" s="1"/>
  <c r="CB26" i="20"/>
  <c r="IP26" i="20"/>
  <c r="IA26" i="20"/>
  <c r="AY27" i="20"/>
  <c r="BL40" i="28"/>
  <c r="BS28" i="20"/>
  <c r="BR29" i="20"/>
  <c r="EH21" i="20"/>
  <c r="DA22" i="20"/>
  <c r="DP22" i="20" s="1"/>
  <c r="DB22" i="20"/>
  <c r="EE19" i="20"/>
  <c r="BN25" i="28"/>
  <c r="BN26" i="28" s="1"/>
  <c r="BN27" i="28" s="1"/>
  <c r="BN28" i="28" s="1"/>
  <c r="BN29" i="28" s="1"/>
  <c r="BN30" i="28" s="1"/>
  <c r="BN31" i="28" s="1"/>
  <c r="BN32" i="28" s="1"/>
  <c r="BN33" i="28" s="1"/>
  <c r="BN34" i="28" s="1"/>
  <c r="BN35" i="28" s="1"/>
  <c r="BN36" i="28" s="1"/>
  <c r="BN37" i="28" s="1"/>
  <c r="BN38" i="28" s="1"/>
  <c r="BN39" i="28" s="1"/>
  <c r="BN40" i="28" s="1"/>
  <c r="FC136" i="28"/>
  <c r="GE20" i="28"/>
  <c r="BQ24" i="28"/>
  <c r="BS23" i="28"/>
  <c r="BM23" i="28"/>
  <c r="BO22" i="28"/>
  <c r="FR22" i="28" s="1"/>
  <c r="GV22" i="28"/>
  <c r="CE22" i="28"/>
  <c r="AZ39" i="20"/>
  <c r="IA38" i="20"/>
  <c r="Y6" i="28"/>
  <c r="AN6" i="28"/>
  <c r="BG24" i="20"/>
  <c r="BF25" i="20"/>
  <c r="EF19" i="20"/>
  <c r="FA136" i="20"/>
  <c r="BI24" i="28"/>
  <c r="BK23" i="28"/>
  <c r="IA25" i="28"/>
  <c r="FS25" i="28"/>
  <c r="BX25" i="28"/>
  <c r="GW25" i="28"/>
  <c r="FD25" i="28"/>
  <c r="GH25" i="28"/>
  <c r="HL25" i="28"/>
  <c r="BV28" i="20"/>
  <c r="HZ22" i="20"/>
  <c r="HX22" i="20" s="1"/>
  <c r="GV22" i="20"/>
  <c r="GT22" i="20" s="1"/>
  <c r="HK22" i="20"/>
  <c r="HI22" i="20" s="1"/>
  <c r="CD22" i="20"/>
  <c r="CE22" i="20"/>
  <c r="CC22" i="20"/>
  <c r="CW22" i="20"/>
  <c r="DR22" i="20" s="1"/>
  <c r="BU24" i="20"/>
  <c r="BW23" i="20"/>
  <c r="BB29" i="20"/>
  <c r="FR21" i="28"/>
  <c r="BA24" i="20"/>
  <c r="BC23" i="20"/>
  <c r="BK26" i="20"/>
  <c r="BJ27" i="20"/>
  <c r="CF21" i="28"/>
  <c r="FD141" i="35" l="1"/>
  <c r="FR24" i="35"/>
  <c r="BQ27" i="35"/>
  <c r="BS26" i="35"/>
  <c r="HZ25" i="35"/>
  <c r="BV27" i="35"/>
  <c r="BW26" i="35"/>
  <c r="CE24" i="35"/>
  <c r="CF24" i="35"/>
  <c r="CD24" i="35"/>
  <c r="CC25" i="35"/>
  <c r="BE26" i="35"/>
  <c r="BG25" i="35"/>
  <c r="CD25" i="35" s="1"/>
  <c r="BK28" i="35"/>
  <c r="BJ29" i="35"/>
  <c r="GV24" i="35"/>
  <c r="BY24" i="35"/>
  <c r="GG24" i="35"/>
  <c r="CH24" i="35"/>
  <c r="BF29" i="35"/>
  <c r="FC24" i="35"/>
  <c r="BB27" i="35"/>
  <c r="BC26" i="35"/>
  <c r="CG24" i="35"/>
  <c r="AY27" i="35"/>
  <c r="BX26" i="35"/>
  <c r="FD26" i="35"/>
  <c r="CB26" i="35"/>
  <c r="FS26" i="35"/>
  <c r="IA26" i="35"/>
  <c r="GH26" i="35"/>
  <c r="HL26" i="35"/>
  <c r="GW26" i="35"/>
  <c r="IP26" i="35"/>
  <c r="BN27" i="35"/>
  <c r="BO26" i="35"/>
  <c r="FI143" i="20"/>
  <c r="FG140" i="20"/>
  <c r="FK144" i="20"/>
  <c r="FC137" i="20"/>
  <c r="FJ143" i="20"/>
  <c r="FK145" i="20"/>
  <c r="FH142" i="20"/>
  <c r="FI140" i="35"/>
  <c r="FD139" i="20"/>
  <c r="FJ144" i="20"/>
  <c r="FF140" i="20"/>
  <c r="FE139" i="20"/>
  <c r="FF139" i="20"/>
  <c r="FD145" i="35"/>
  <c r="FJ142" i="35"/>
  <c r="FH139" i="35"/>
  <c r="FK143" i="35"/>
  <c r="FG139" i="35"/>
  <c r="GE21" i="20"/>
  <c r="FA137" i="20" s="1"/>
  <c r="JS20" i="20"/>
  <c r="BD25" i="20"/>
  <c r="BX24" i="20"/>
  <c r="FD24" i="20"/>
  <c r="FS24" i="20"/>
  <c r="GH24" i="20"/>
  <c r="GW24" i="20"/>
  <c r="HL24" i="20"/>
  <c r="FK31" i="20"/>
  <c r="IH31" i="20"/>
  <c r="IW31" i="20"/>
  <c r="HS31" i="20"/>
  <c r="FZ31" i="20"/>
  <c r="HD31" i="20"/>
  <c r="GO31" i="20"/>
  <c r="CP31" i="20"/>
  <c r="DY31" i="20"/>
  <c r="AP32" i="35"/>
  <c r="CN31" i="35"/>
  <c r="CB31" i="35"/>
  <c r="CN33" i="20"/>
  <c r="AP34" i="20"/>
  <c r="CB33" i="20"/>
  <c r="CO32" i="20"/>
  <c r="DZ32" i="20"/>
  <c r="JJ20" i="20"/>
  <c r="JK20" i="20" s="1"/>
  <c r="JA20" i="20" s="1"/>
  <c r="EC15" i="35"/>
  <c r="BU29" i="35"/>
  <c r="FF138" i="35"/>
  <c r="FH140" i="35"/>
  <c r="FI141" i="35"/>
  <c r="JO21" i="35"/>
  <c r="JP21" i="35" s="1"/>
  <c r="IZ20" i="35"/>
  <c r="IZ21" i="35" s="1"/>
  <c r="EF16" i="35"/>
  <c r="EE16" i="35"/>
  <c r="EH18" i="35"/>
  <c r="HS28" i="35"/>
  <c r="FK28" i="35"/>
  <c r="FZ28" i="35"/>
  <c r="HD28" i="35"/>
  <c r="GO28" i="35"/>
  <c r="IH28" i="35"/>
  <c r="IW28" i="35"/>
  <c r="DS22" i="35"/>
  <c r="EK22" i="35" s="1"/>
  <c r="CV22" i="35"/>
  <c r="EI19" i="35"/>
  <c r="DC18" i="35"/>
  <c r="DO18" i="35" s="1"/>
  <c r="EG18" i="35" s="1"/>
  <c r="DD18" i="35"/>
  <c r="FA135" i="35"/>
  <c r="D58" i="34" s="1"/>
  <c r="JI19" i="35"/>
  <c r="JJ19" i="35" s="1"/>
  <c r="JA19" i="35" s="1"/>
  <c r="JK21" i="35"/>
  <c r="GI22" i="35"/>
  <c r="GE22" i="35" s="1"/>
  <c r="GX22" i="35"/>
  <c r="GT22" i="35" s="1"/>
  <c r="IB22" i="35"/>
  <c r="HX22" i="35" s="1"/>
  <c r="FT22" i="35"/>
  <c r="IQ22" i="35"/>
  <c r="IM22" i="35" s="1"/>
  <c r="FE22" i="35"/>
  <c r="FA22" i="35" s="1"/>
  <c r="HM22" i="35"/>
  <c r="HI22" i="35" s="1"/>
  <c r="DA19" i="35"/>
  <c r="DP19" i="35" s="1"/>
  <c r="EH19" i="35" s="1"/>
  <c r="DB19" i="35"/>
  <c r="EG17" i="35"/>
  <c r="JQ21" i="35"/>
  <c r="JR21" i="35" s="1"/>
  <c r="DE17" i="35"/>
  <c r="DN17" i="35" s="1"/>
  <c r="EF17" i="35" s="1"/>
  <c r="DF17" i="35"/>
  <c r="DG17" i="35" s="1"/>
  <c r="DM17" i="35" s="1"/>
  <c r="CT24" i="35"/>
  <c r="DU24" i="35"/>
  <c r="EM24" i="35" s="1"/>
  <c r="CO29" i="35"/>
  <c r="DZ29" i="35"/>
  <c r="ER29" i="35" s="1"/>
  <c r="FP20" i="35"/>
  <c r="FE136" i="35"/>
  <c r="FG24" i="35"/>
  <c r="FV24" i="35"/>
  <c r="GZ24" i="35"/>
  <c r="ID24" i="35"/>
  <c r="GK24" i="35"/>
  <c r="HO24" i="35"/>
  <c r="IS24" i="35"/>
  <c r="GM26" i="35"/>
  <c r="IU26" i="35"/>
  <c r="HQ26" i="35"/>
  <c r="IF26" i="35"/>
  <c r="FI26" i="35"/>
  <c r="HB26" i="35"/>
  <c r="FX26" i="35"/>
  <c r="CN30" i="35"/>
  <c r="CB30" i="35"/>
  <c r="FF23" i="35"/>
  <c r="FU23" i="35"/>
  <c r="HN23" i="35"/>
  <c r="GY23" i="35"/>
  <c r="IC23" i="35"/>
  <c r="IR23" i="35"/>
  <c r="GJ23" i="35"/>
  <c r="JG21" i="35"/>
  <c r="JH21" i="35" s="1"/>
  <c r="DW26" i="35"/>
  <c r="CR26" i="35"/>
  <c r="HR27" i="35"/>
  <c r="IG27" i="35"/>
  <c r="HC27" i="35"/>
  <c r="GN27" i="35"/>
  <c r="IV27" i="35"/>
  <c r="FJ27" i="35"/>
  <c r="FY27" i="35"/>
  <c r="EO25" i="35"/>
  <c r="DT23" i="35"/>
  <c r="EL23" i="35" s="1"/>
  <c r="CU23" i="35"/>
  <c r="JM21" i="35"/>
  <c r="JN21" i="35" s="1"/>
  <c r="CQ27" i="35"/>
  <c r="DX27" i="35"/>
  <c r="EP27" i="35" s="1"/>
  <c r="CS25" i="35"/>
  <c r="DV25" i="35"/>
  <c r="EN25" i="35" s="1"/>
  <c r="CZ20" i="35"/>
  <c r="CY20" i="35"/>
  <c r="DQ20" i="35" s="1"/>
  <c r="EI20" i="35" s="1"/>
  <c r="JS20" i="35"/>
  <c r="JT20" i="35" s="1"/>
  <c r="CX21" i="35"/>
  <c r="CW21" i="35"/>
  <c r="DR21" i="35" s="1"/>
  <c r="EJ21" i="35" s="1"/>
  <c r="FE137" i="35"/>
  <c r="FP21" i="35"/>
  <c r="CP28" i="35"/>
  <c r="DY28" i="35"/>
  <c r="EQ28" i="35" s="1"/>
  <c r="JL22" i="20"/>
  <c r="JM22" i="20" s="1"/>
  <c r="JT20" i="28"/>
  <c r="JU20" i="28" s="1"/>
  <c r="JN22" i="20"/>
  <c r="JO22" i="20" s="1"/>
  <c r="GG22" i="20"/>
  <c r="GE22" i="20" s="1"/>
  <c r="BY22" i="20"/>
  <c r="CF22" i="20"/>
  <c r="FR22" i="20"/>
  <c r="FP22" i="20" s="1"/>
  <c r="CG22" i="20"/>
  <c r="FC22" i="20"/>
  <c r="FA22" i="20" s="1"/>
  <c r="JF22" i="20" s="1"/>
  <c r="JG22" i="20" s="1"/>
  <c r="JL19" i="28"/>
  <c r="JM19" i="28" s="1"/>
  <c r="JB19" i="28" s="1"/>
  <c r="GW30" i="35"/>
  <c r="IA30" i="35"/>
  <c r="GH30" i="35"/>
  <c r="HL30" i="35"/>
  <c r="BM24" i="20"/>
  <c r="BO23" i="20"/>
  <c r="CF23" i="20" s="1"/>
  <c r="FD30" i="35"/>
  <c r="FS30" i="35"/>
  <c r="AZ31" i="35"/>
  <c r="BX30" i="35"/>
  <c r="FK143" i="28"/>
  <c r="JH20" i="28"/>
  <c r="JI20" i="28" s="1"/>
  <c r="JP22" i="20"/>
  <c r="JQ22" i="20" s="1"/>
  <c r="FH140" i="28"/>
  <c r="FI141" i="28"/>
  <c r="FD144" i="28"/>
  <c r="BR33" i="35"/>
  <c r="FE24" i="20"/>
  <c r="FT24" i="20"/>
  <c r="GX24" i="20"/>
  <c r="GI24" i="20"/>
  <c r="IB24" i="20"/>
  <c r="HM24" i="20"/>
  <c r="IQ24" i="20"/>
  <c r="IM24" i="20" s="1"/>
  <c r="GK25" i="20"/>
  <c r="ID25" i="20"/>
  <c r="FG25" i="20"/>
  <c r="GZ25" i="20"/>
  <c r="FV25" i="20"/>
  <c r="IS25" i="20"/>
  <c r="HO25" i="20"/>
  <c r="IM23" i="20"/>
  <c r="IZ23" i="20" s="1"/>
  <c r="CR28" i="20"/>
  <c r="DW28" i="20"/>
  <c r="EO28" i="20" s="1"/>
  <c r="HB28" i="20"/>
  <c r="IF28" i="20"/>
  <c r="HQ28" i="20"/>
  <c r="GM28" i="20"/>
  <c r="FI28" i="20"/>
  <c r="FX28" i="20"/>
  <c r="IU28" i="20"/>
  <c r="DV27" i="20"/>
  <c r="CS27" i="20"/>
  <c r="FF25" i="20"/>
  <c r="IR25" i="20"/>
  <c r="HN25" i="20"/>
  <c r="GY25" i="20"/>
  <c r="GJ25" i="20"/>
  <c r="FU25" i="20"/>
  <c r="IC25" i="20"/>
  <c r="HP27" i="20"/>
  <c r="FH27" i="20"/>
  <c r="GL27" i="20"/>
  <c r="IT27" i="20"/>
  <c r="IE27" i="20"/>
  <c r="FW27" i="20"/>
  <c r="HA27" i="20"/>
  <c r="HR29" i="20"/>
  <c r="FJ29" i="20"/>
  <c r="IV29" i="20"/>
  <c r="HC29" i="20"/>
  <c r="IG29" i="20"/>
  <c r="FY29" i="20"/>
  <c r="GN29" i="20"/>
  <c r="CV24" i="20"/>
  <c r="CX24" i="20" s="1"/>
  <c r="CZ24" i="20" s="1"/>
  <c r="DS24" i="20"/>
  <c r="EK24" i="20" s="1"/>
  <c r="DT25" i="20"/>
  <c r="EL25" i="20" s="1"/>
  <c r="CU25" i="20"/>
  <c r="ER30" i="20"/>
  <c r="GK26" i="20"/>
  <c r="FV26" i="20"/>
  <c r="ID26" i="20"/>
  <c r="HO26" i="20"/>
  <c r="FG26" i="20"/>
  <c r="IS26" i="20"/>
  <c r="GZ26" i="20"/>
  <c r="CP30" i="20"/>
  <c r="DY30" i="20"/>
  <c r="EQ30" i="20" s="1"/>
  <c r="CQ29" i="20"/>
  <c r="DX29" i="20"/>
  <c r="EP29" i="20" s="1"/>
  <c r="CT26" i="20"/>
  <c r="DU26" i="20"/>
  <c r="FH139" i="28"/>
  <c r="FD143" i="28"/>
  <c r="FJ142" i="28"/>
  <c r="FD142" i="28"/>
  <c r="FG139" i="28"/>
  <c r="FE137" i="28"/>
  <c r="JJ20" i="28"/>
  <c r="JK20" i="28" s="1"/>
  <c r="FF138" i="28"/>
  <c r="FF137" i="28"/>
  <c r="HI21" i="28"/>
  <c r="JP21" i="28" s="1"/>
  <c r="JQ21" i="28" s="1"/>
  <c r="EE16" i="28"/>
  <c r="GT21" i="28"/>
  <c r="JN21" i="28" s="1"/>
  <c r="JO21" i="28" s="1"/>
  <c r="FA21" i="28"/>
  <c r="HX21" i="28"/>
  <c r="JR21" i="28" s="1"/>
  <c r="JS21" i="28" s="1"/>
  <c r="FP21" i="28"/>
  <c r="DZ29" i="28"/>
  <c r="ER29" i="28" s="1"/>
  <c r="CO29" i="28"/>
  <c r="EH18" i="28"/>
  <c r="DW26" i="28"/>
  <c r="EO26" i="28" s="1"/>
  <c r="CR26" i="28"/>
  <c r="IT25" i="28"/>
  <c r="HA25" i="28"/>
  <c r="HP25" i="28"/>
  <c r="FW25" i="28"/>
  <c r="FH25" i="28"/>
  <c r="IE25" i="28"/>
  <c r="GL25" i="28"/>
  <c r="DC18" i="28"/>
  <c r="DO18" i="28" s="1"/>
  <c r="EG18" i="28" s="1"/>
  <c r="DD18" i="28"/>
  <c r="EP26" i="28"/>
  <c r="JS21" i="20"/>
  <c r="JR22" i="20"/>
  <c r="DF17" i="28"/>
  <c r="DG17" i="28" s="1"/>
  <c r="DM17" i="28" s="1"/>
  <c r="DE17" i="28"/>
  <c r="DN17" i="28" s="1"/>
  <c r="EF17" i="28" s="1"/>
  <c r="HS28" i="28"/>
  <c r="GO28" i="28"/>
  <c r="IH28" i="28"/>
  <c r="FK28" i="28"/>
  <c r="HD28" i="28"/>
  <c r="IW28" i="28"/>
  <c r="FZ28" i="28"/>
  <c r="EJ20" i="28"/>
  <c r="DT23" i="28"/>
  <c r="EL23" i="28" s="1"/>
  <c r="CU23" i="28"/>
  <c r="CX21" i="28"/>
  <c r="CW21" i="28"/>
  <c r="DR21" i="28" s="1"/>
  <c r="CP28" i="28"/>
  <c r="DY28" i="28"/>
  <c r="EQ28" i="28" s="1"/>
  <c r="CZ20" i="28"/>
  <c r="CY20" i="28"/>
  <c r="DQ20" i="28" s="1"/>
  <c r="CS25" i="28"/>
  <c r="DV25" i="28"/>
  <c r="EN25" i="28" s="1"/>
  <c r="EM23" i="28"/>
  <c r="FY27" i="28"/>
  <c r="HC27" i="28"/>
  <c r="HR27" i="28"/>
  <c r="GN27" i="28"/>
  <c r="IV27" i="28"/>
  <c r="IG27" i="28"/>
  <c r="FJ27" i="28"/>
  <c r="EF16" i="28"/>
  <c r="EG17" i="28"/>
  <c r="FG24" i="28"/>
  <c r="FV24" i="28"/>
  <c r="GZ24" i="28"/>
  <c r="ID24" i="28"/>
  <c r="IS24" i="28"/>
  <c r="GK24" i="28"/>
  <c r="HO24" i="28"/>
  <c r="DS22" i="28"/>
  <c r="EK22" i="28" s="1"/>
  <c r="CV22" i="28"/>
  <c r="DX27" i="28"/>
  <c r="EP27" i="28" s="1"/>
  <c r="CQ27" i="28"/>
  <c r="IM21" i="28"/>
  <c r="CN30" i="28"/>
  <c r="AP31" i="28"/>
  <c r="CB30" i="28"/>
  <c r="DA19" i="28"/>
  <c r="DP19" i="28" s="1"/>
  <c r="DB19" i="28"/>
  <c r="DU24" i="28"/>
  <c r="EM24" i="28" s="1"/>
  <c r="CT24" i="28"/>
  <c r="IQ22" i="28"/>
  <c r="IM22" i="28" s="1"/>
  <c r="GI22" i="28"/>
  <c r="IB22" i="28"/>
  <c r="HX22" i="28" s="1"/>
  <c r="FE22" i="28"/>
  <c r="FT22" i="28"/>
  <c r="FP22" i="28" s="1"/>
  <c r="HM22" i="28"/>
  <c r="HI22" i="28" s="1"/>
  <c r="GX22" i="28"/>
  <c r="GT22" i="28" s="1"/>
  <c r="BW26" i="28"/>
  <c r="BV27" i="28"/>
  <c r="BG26" i="28"/>
  <c r="BF27" i="28"/>
  <c r="AZ30" i="28"/>
  <c r="HL29" i="28"/>
  <c r="GW29" i="28"/>
  <c r="IA29" i="28"/>
  <c r="FS29" i="28"/>
  <c r="GH29" i="28"/>
  <c r="FD29" i="28"/>
  <c r="BX29" i="28"/>
  <c r="FD141" i="28"/>
  <c r="JH21" i="20"/>
  <c r="JI21" i="20" s="1"/>
  <c r="FC137" i="28"/>
  <c r="GE21" i="28"/>
  <c r="BY22" i="28"/>
  <c r="CD23" i="28"/>
  <c r="HK23" i="28"/>
  <c r="HZ23" i="28"/>
  <c r="CC23" i="28"/>
  <c r="BA25" i="28"/>
  <c r="BC24" i="28"/>
  <c r="CF22" i="28"/>
  <c r="GG22" i="28"/>
  <c r="CG22" i="28"/>
  <c r="FC22" i="28"/>
  <c r="CH22" i="28"/>
  <c r="HZ23" i="20"/>
  <c r="HX23" i="20" s="1"/>
  <c r="GV23" i="20"/>
  <c r="GT23" i="20" s="1"/>
  <c r="HK23" i="20"/>
  <c r="HI23" i="20" s="1"/>
  <c r="CC23" i="20"/>
  <c r="CD23" i="20"/>
  <c r="CE23" i="20"/>
  <c r="CW23" i="20"/>
  <c r="DR23" i="20" s="1"/>
  <c r="BV29" i="20"/>
  <c r="BA25" i="20"/>
  <c r="BC24" i="20"/>
  <c r="BU25" i="20"/>
  <c r="BW24" i="20"/>
  <c r="EC19" i="20"/>
  <c r="BN27" i="20"/>
  <c r="BQ25" i="28"/>
  <c r="BS24" i="28"/>
  <c r="CE23" i="28"/>
  <c r="GV23" i="28"/>
  <c r="GP20" i="28"/>
  <c r="FA136" i="28"/>
  <c r="IA27" i="20"/>
  <c r="IP27" i="20"/>
  <c r="CB27" i="20"/>
  <c r="AY42" i="20"/>
  <c r="EF20" i="20"/>
  <c r="EE20" i="20"/>
  <c r="BI25" i="28"/>
  <c r="BK24" i="28"/>
  <c r="BK27" i="20"/>
  <c r="BJ28" i="20"/>
  <c r="DB23" i="20"/>
  <c r="DA23" i="20"/>
  <c r="DP23" i="20" s="1"/>
  <c r="DD22" i="20"/>
  <c r="DC22" i="20"/>
  <c r="DO22" i="20" s="1"/>
  <c r="EG22" i="20" s="1"/>
  <c r="AG9" i="28"/>
  <c r="BL42" i="28"/>
  <c r="DE21" i="20"/>
  <c r="DN21" i="20" s="1"/>
  <c r="EF21" i="20" s="1"/>
  <c r="DF21" i="20"/>
  <c r="DG21" i="20" s="1"/>
  <c r="DM21" i="20" s="1"/>
  <c r="BB30" i="20"/>
  <c r="EJ22" i="20"/>
  <c r="EI22" i="20"/>
  <c r="CY23" i="20"/>
  <c r="DQ23" i="20" s="1"/>
  <c r="BG25" i="20"/>
  <c r="BF26" i="20"/>
  <c r="AZ40" i="20"/>
  <c r="IA39" i="20"/>
  <c r="EH22" i="20"/>
  <c r="BM24" i="28"/>
  <c r="BO23" i="28"/>
  <c r="CG23" i="28" s="1"/>
  <c r="BS29" i="20"/>
  <c r="BR30" i="20"/>
  <c r="FD142" i="35" l="1"/>
  <c r="FC25" i="35"/>
  <c r="BY25" i="35"/>
  <c r="CH25" i="35"/>
  <c r="CE25" i="35"/>
  <c r="FC140" i="35"/>
  <c r="CG25" i="35"/>
  <c r="CF25" i="35"/>
  <c r="BQ28" i="35"/>
  <c r="BS27" i="35"/>
  <c r="BN28" i="35"/>
  <c r="BO27" i="35"/>
  <c r="HZ26" i="35"/>
  <c r="BC27" i="35"/>
  <c r="BB28" i="35"/>
  <c r="HL27" i="35"/>
  <c r="BX27" i="35"/>
  <c r="FD27" i="35"/>
  <c r="GW27" i="35"/>
  <c r="CB27" i="35"/>
  <c r="GH27" i="35"/>
  <c r="IA27" i="35"/>
  <c r="IP27" i="35"/>
  <c r="FS27" i="35"/>
  <c r="FD143" i="35" s="1"/>
  <c r="AY42" i="35"/>
  <c r="BJ30" i="35"/>
  <c r="BK29" i="35"/>
  <c r="GG25" i="35"/>
  <c r="CC26" i="35"/>
  <c r="BF30" i="35"/>
  <c r="BV28" i="35"/>
  <c r="BW27" i="35"/>
  <c r="GV25" i="35"/>
  <c r="BE27" i="35"/>
  <c r="BG26" i="35"/>
  <c r="FC26" i="35" s="1"/>
  <c r="FR25" i="35"/>
  <c r="HK25" i="35"/>
  <c r="FK147" i="20"/>
  <c r="FG142" i="20"/>
  <c r="FJ145" i="20"/>
  <c r="FI144" i="20"/>
  <c r="FF141" i="20"/>
  <c r="FH143" i="20"/>
  <c r="FK144" i="35"/>
  <c r="FD140" i="20"/>
  <c r="FG141" i="20"/>
  <c r="FE140" i="20"/>
  <c r="FJ143" i="35"/>
  <c r="JN23" i="20"/>
  <c r="JO23" i="20" s="1"/>
  <c r="BD26" i="20"/>
  <c r="GH25" i="20"/>
  <c r="GW25" i="20"/>
  <c r="FD25" i="20"/>
  <c r="BX25" i="20"/>
  <c r="FS25" i="20"/>
  <c r="HL25" i="20"/>
  <c r="CQ31" i="20"/>
  <c r="DX31" i="20"/>
  <c r="EP31" i="20" s="1"/>
  <c r="CN34" i="20"/>
  <c r="AP35" i="20"/>
  <c r="CB34" i="20"/>
  <c r="CO33" i="20"/>
  <c r="DZ33" i="20"/>
  <c r="ER33" i="20" s="1"/>
  <c r="DZ31" i="35"/>
  <c r="ER31" i="35" s="1"/>
  <c r="CO31" i="35"/>
  <c r="ER32" i="20"/>
  <c r="AP33" i="35"/>
  <c r="CN32" i="35"/>
  <c r="CB32" i="35"/>
  <c r="CP32" i="20"/>
  <c r="DY32" i="20"/>
  <c r="EQ32" i="20" s="1"/>
  <c r="EQ31" i="20"/>
  <c r="JJ21" i="20"/>
  <c r="JK21" i="20" s="1"/>
  <c r="JA21" i="20" s="1"/>
  <c r="FR23" i="20"/>
  <c r="FP23" i="20" s="1"/>
  <c r="CH23" i="20"/>
  <c r="JO22" i="35"/>
  <c r="JP22" i="35" s="1"/>
  <c r="JL23" i="20"/>
  <c r="JM23" i="20" s="1"/>
  <c r="BU30" i="35"/>
  <c r="FF139" i="35"/>
  <c r="FD146" i="35"/>
  <c r="EC16" i="35"/>
  <c r="FG140" i="35"/>
  <c r="FI142" i="35"/>
  <c r="JQ22" i="35"/>
  <c r="JR22" i="35" s="1"/>
  <c r="IS25" i="35"/>
  <c r="FG25" i="35"/>
  <c r="ID25" i="35"/>
  <c r="FV25" i="35"/>
  <c r="GZ25" i="35"/>
  <c r="GK25" i="35"/>
  <c r="HO25" i="35"/>
  <c r="CV23" i="35"/>
  <c r="DS23" i="35"/>
  <c r="EK23" i="35" s="1"/>
  <c r="HS29" i="35"/>
  <c r="IH29" i="35"/>
  <c r="FK29" i="35"/>
  <c r="FZ29" i="35"/>
  <c r="IW29" i="35"/>
  <c r="GO29" i="35"/>
  <c r="HD29" i="35"/>
  <c r="FE138" i="35"/>
  <c r="FP22" i="35"/>
  <c r="IQ23" i="35"/>
  <c r="IM23" i="35" s="1"/>
  <c r="FE23" i="35"/>
  <c r="FA23" i="35" s="1"/>
  <c r="IB23" i="35"/>
  <c r="HX23" i="35" s="1"/>
  <c r="FT23" i="35"/>
  <c r="HM23" i="35"/>
  <c r="HI23" i="35" s="1"/>
  <c r="GX23" i="35"/>
  <c r="GT23" i="35" s="1"/>
  <c r="GI23" i="35"/>
  <c r="GE23" i="35" s="1"/>
  <c r="CP29" i="35"/>
  <c r="DY29" i="35"/>
  <c r="GN28" i="35"/>
  <c r="IV28" i="35"/>
  <c r="HR28" i="35"/>
  <c r="HC28" i="35"/>
  <c r="FJ28" i="35"/>
  <c r="IG28" i="35"/>
  <c r="FY28" i="35"/>
  <c r="DB20" i="35"/>
  <c r="DA20" i="35"/>
  <c r="DP20" i="35" s="1"/>
  <c r="JS21" i="35"/>
  <c r="JT21" i="35" s="1"/>
  <c r="JM22" i="35"/>
  <c r="JN22" i="35" s="1"/>
  <c r="DX28" i="35"/>
  <c r="EP28" i="35" s="1"/>
  <c r="CQ28" i="35"/>
  <c r="GL25" i="35"/>
  <c r="HP25" i="35"/>
  <c r="IT25" i="35"/>
  <c r="FH25" i="35"/>
  <c r="FW25" i="35"/>
  <c r="HA25" i="35"/>
  <c r="IE25" i="35"/>
  <c r="CS26" i="35"/>
  <c r="DV26" i="35"/>
  <c r="EN26" i="35" s="1"/>
  <c r="DD19" i="35"/>
  <c r="DC19" i="35"/>
  <c r="DO19" i="35" s="1"/>
  <c r="CX22" i="35"/>
  <c r="CW22" i="35"/>
  <c r="DR22" i="35" s="1"/>
  <c r="FA137" i="35"/>
  <c r="D60" i="34" s="1"/>
  <c r="CT25" i="35"/>
  <c r="DU25" i="35"/>
  <c r="EM25" i="35" s="1"/>
  <c r="EO26" i="35"/>
  <c r="GJ24" i="35"/>
  <c r="HN24" i="35"/>
  <c r="GY24" i="35"/>
  <c r="IR24" i="35"/>
  <c r="FF24" i="35"/>
  <c r="FU24" i="35"/>
  <c r="IC24" i="35"/>
  <c r="JK22" i="35"/>
  <c r="JL22" i="35" s="1"/>
  <c r="JL21" i="35"/>
  <c r="HB27" i="35"/>
  <c r="HQ27" i="35"/>
  <c r="IF27" i="35"/>
  <c r="GM27" i="35"/>
  <c r="IU27" i="35"/>
  <c r="FI27" i="35"/>
  <c r="FX27" i="35"/>
  <c r="DT24" i="35"/>
  <c r="EL24" i="35" s="1"/>
  <c r="CU24" i="35"/>
  <c r="CR27" i="35"/>
  <c r="DW27" i="35"/>
  <c r="DZ30" i="35"/>
  <c r="ER30" i="35" s="1"/>
  <c r="CO30" i="35"/>
  <c r="JG22" i="35"/>
  <c r="JH22" i="35" s="1"/>
  <c r="CZ21" i="35"/>
  <c r="CY21" i="35"/>
  <c r="DQ21" i="35" s="1"/>
  <c r="FA136" i="35"/>
  <c r="D59" i="34" s="1"/>
  <c r="JI20" i="35"/>
  <c r="JJ20" i="35" s="1"/>
  <c r="JA20" i="35" s="1"/>
  <c r="EE17" i="35"/>
  <c r="EC17" i="35" s="1"/>
  <c r="IZ22" i="35"/>
  <c r="DF18" i="35"/>
  <c r="DG18" i="35" s="1"/>
  <c r="DM18" i="35" s="1"/>
  <c r="DE18" i="35"/>
  <c r="DN18" i="35" s="1"/>
  <c r="FC138" i="20"/>
  <c r="JL20" i="28"/>
  <c r="JM20" i="28" s="1"/>
  <c r="JB20" i="28" s="1"/>
  <c r="GG23" i="20"/>
  <c r="JP23" i="20"/>
  <c r="JQ23" i="20" s="1"/>
  <c r="FC23" i="20"/>
  <c r="FA23" i="20" s="1"/>
  <c r="JF23" i="20" s="1"/>
  <c r="JG23" i="20" s="1"/>
  <c r="CG23" i="20"/>
  <c r="BY23" i="20"/>
  <c r="JH21" i="28"/>
  <c r="JI21" i="28" s="1"/>
  <c r="BM25" i="20"/>
  <c r="BO24" i="20"/>
  <c r="FR24" i="20" s="1"/>
  <c r="FP24" i="20" s="1"/>
  <c r="GH31" i="35"/>
  <c r="GW31" i="35"/>
  <c r="IA31" i="35"/>
  <c r="HL31" i="35"/>
  <c r="FS31" i="35"/>
  <c r="FD31" i="35"/>
  <c r="AZ32" i="35"/>
  <c r="BX31" i="35"/>
  <c r="FD145" i="28"/>
  <c r="IZ24" i="20"/>
  <c r="BR34" i="35"/>
  <c r="BR35" i="35" s="1"/>
  <c r="BR36" i="35" s="1"/>
  <c r="BR37" i="35" s="1"/>
  <c r="BR38" i="35" s="1"/>
  <c r="BR39" i="35" s="1"/>
  <c r="BR40" i="35" s="1"/>
  <c r="JJ21" i="28"/>
  <c r="JK21" i="28" s="1"/>
  <c r="CY24" i="20"/>
  <c r="DQ24" i="20" s="1"/>
  <c r="FJ143" i="28"/>
  <c r="FT25" i="20"/>
  <c r="GI25" i="20"/>
  <c r="IB25" i="20"/>
  <c r="FE25" i="20"/>
  <c r="HM25" i="20"/>
  <c r="GX25" i="20"/>
  <c r="IQ25" i="20"/>
  <c r="IM25" i="20" s="1"/>
  <c r="CQ30" i="20"/>
  <c r="DX30" i="20"/>
  <c r="EP30" i="20" s="1"/>
  <c r="FZ30" i="20"/>
  <c r="IW30" i="20"/>
  <c r="IH30" i="20"/>
  <c r="HS30" i="20"/>
  <c r="HD30" i="20"/>
  <c r="GO30" i="20"/>
  <c r="FK30" i="20"/>
  <c r="FJ30" i="20"/>
  <c r="IV30" i="20"/>
  <c r="IG30" i="20"/>
  <c r="HR30" i="20"/>
  <c r="FY30" i="20"/>
  <c r="GN30" i="20"/>
  <c r="HC30" i="20"/>
  <c r="DS25" i="20"/>
  <c r="EK25" i="20" s="1"/>
  <c r="CV25" i="20"/>
  <c r="CX25" i="20" s="1"/>
  <c r="CZ25" i="20" s="1"/>
  <c r="DV28" i="20"/>
  <c r="EN28" i="20" s="1"/>
  <c r="CS28" i="20"/>
  <c r="EM26" i="20"/>
  <c r="DT26" i="20"/>
  <c r="EL26" i="20" s="1"/>
  <c r="CU26" i="20"/>
  <c r="HB29" i="20"/>
  <c r="FX29" i="20"/>
  <c r="GM29" i="20"/>
  <c r="FI29" i="20"/>
  <c r="IF29" i="20"/>
  <c r="IU29" i="20"/>
  <c r="HQ29" i="20"/>
  <c r="DW29" i="20"/>
  <c r="CR29" i="20"/>
  <c r="CT27" i="20"/>
  <c r="DU27" i="20"/>
  <c r="EM27" i="20" s="1"/>
  <c r="EN27" i="20"/>
  <c r="IE28" i="20"/>
  <c r="GL28" i="20"/>
  <c r="HP28" i="20"/>
  <c r="HA28" i="20"/>
  <c r="FW28" i="20"/>
  <c r="FH28" i="20"/>
  <c r="IT28" i="20"/>
  <c r="FH141" i="28"/>
  <c r="FA137" i="28"/>
  <c r="FK144" i="28"/>
  <c r="FG140" i="28"/>
  <c r="FE138" i="28"/>
  <c r="FA22" i="28"/>
  <c r="JN22" i="28"/>
  <c r="JO22" i="28" s="1"/>
  <c r="JP22" i="28"/>
  <c r="JQ22" i="28" s="1"/>
  <c r="EC16" i="28"/>
  <c r="JR22" i="28"/>
  <c r="JS22" i="28" s="1"/>
  <c r="GE22" i="28"/>
  <c r="FH26" i="28"/>
  <c r="IT26" i="28"/>
  <c r="IE26" i="28"/>
  <c r="HP26" i="28"/>
  <c r="HA26" i="28"/>
  <c r="FW26" i="28"/>
  <c r="GL26" i="28"/>
  <c r="CO30" i="28"/>
  <c r="DZ30" i="28"/>
  <c r="ER30" i="28" s="1"/>
  <c r="IQ23" i="28"/>
  <c r="IB23" i="28"/>
  <c r="HM23" i="28"/>
  <c r="FT23" i="28"/>
  <c r="FE23" i="28"/>
  <c r="GX23" i="28"/>
  <c r="GI23" i="28"/>
  <c r="CQ28" i="28"/>
  <c r="DX28" i="28"/>
  <c r="CS26" i="28"/>
  <c r="DV26" i="28"/>
  <c r="EN26" i="28" s="1"/>
  <c r="JA21" i="28"/>
  <c r="JA22" i="28" s="1"/>
  <c r="JT21" i="28"/>
  <c r="JU21" i="28" s="1"/>
  <c r="GJ23" i="28"/>
  <c r="IR23" i="28"/>
  <c r="HN23" i="28"/>
  <c r="IC23" i="28"/>
  <c r="FU23" i="28"/>
  <c r="FF23" i="28"/>
  <c r="GY23" i="28"/>
  <c r="EJ21" i="28"/>
  <c r="JS22" i="20"/>
  <c r="JR23" i="20"/>
  <c r="CR27" i="28"/>
  <c r="DW27" i="28"/>
  <c r="EO27" i="28" s="1"/>
  <c r="FF24" i="28"/>
  <c r="GY24" i="28"/>
  <c r="IC24" i="28"/>
  <c r="GJ24" i="28"/>
  <c r="FU24" i="28"/>
  <c r="IR24" i="28"/>
  <c r="HN24" i="28"/>
  <c r="IU27" i="28"/>
  <c r="HB27" i="28"/>
  <c r="FX27" i="28"/>
  <c r="FI27" i="28"/>
  <c r="IF27" i="28"/>
  <c r="GM27" i="28"/>
  <c r="HQ27" i="28"/>
  <c r="DU25" i="28"/>
  <c r="EM25" i="28" s="1"/>
  <c r="CT25" i="28"/>
  <c r="DS23" i="28"/>
  <c r="EK23" i="28" s="1"/>
  <c r="CV23" i="28"/>
  <c r="DT24" i="28"/>
  <c r="EL24" i="28" s="1"/>
  <c r="CU24" i="28"/>
  <c r="GK25" i="28"/>
  <c r="HO25" i="28"/>
  <c r="FV25" i="28"/>
  <c r="FG25" i="28"/>
  <c r="ID25" i="28"/>
  <c r="IS25" i="28"/>
  <c r="GZ25" i="28"/>
  <c r="DD19" i="28"/>
  <c r="DC19" i="28"/>
  <c r="DO19" i="28" s="1"/>
  <c r="EG19" i="28" s="1"/>
  <c r="CX22" i="28"/>
  <c r="CW22" i="28"/>
  <c r="DR22" i="28" s="1"/>
  <c r="GM26" i="28"/>
  <c r="HB26" i="28"/>
  <c r="IU26" i="28"/>
  <c r="HQ26" i="28"/>
  <c r="IF26" i="28"/>
  <c r="FX26" i="28"/>
  <c r="FI26" i="28"/>
  <c r="EH19" i="28"/>
  <c r="DY29" i="28"/>
  <c r="EQ29" i="28" s="1"/>
  <c r="CP29" i="28"/>
  <c r="CZ21" i="28"/>
  <c r="CY21" i="28"/>
  <c r="DQ21" i="28" s="1"/>
  <c r="EI21" i="28" s="1"/>
  <c r="DB20" i="28"/>
  <c r="DA20" i="28"/>
  <c r="DP20" i="28" s="1"/>
  <c r="EH20" i="28" s="1"/>
  <c r="EI20" i="28"/>
  <c r="DF18" i="28"/>
  <c r="DG18" i="28" s="1"/>
  <c r="DM18" i="28" s="1"/>
  <c r="DE18" i="28"/>
  <c r="DN18" i="28" s="1"/>
  <c r="FK29" i="28"/>
  <c r="IW29" i="28"/>
  <c r="GO29" i="28"/>
  <c r="HS29" i="28"/>
  <c r="IH29" i="28"/>
  <c r="FZ29" i="28"/>
  <c r="HD29" i="28"/>
  <c r="CN31" i="28"/>
  <c r="AP32" i="28"/>
  <c r="AP33" i="28" s="1"/>
  <c r="CB31" i="28"/>
  <c r="IG28" i="28"/>
  <c r="FJ28" i="28"/>
  <c r="IV28" i="28"/>
  <c r="GN28" i="28"/>
  <c r="HC28" i="28"/>
  <c r="HR28" i="28"/>
  <c r="FY28" i="28"/>
  <c r="EE17" i="28"/>
  <c r="EC17" i="28" s="1"/>
  <c r="AZ31" i="28"/>
  <c r="AZ32" i="28" s="1"/>
  <c r="AZ33" i="28" s="1"/>
  <c r="IA30" i="28"/>
  <c r="GW30" i="28"/>
  <c r="HL30" i="28"/>
  <c r="GH30" i="28"/>
  <c r="FS30" i="28"/>
  <c r="FD30" i="28"/>
  <c r="BX30" i="28"/>
  <c r="BF28" i="28"/>
  <c r="BG27" i="28"/>
  <c r="BV28" i="28"/>
  <c r="BW27" i="28"/>
  <c r="JH22" i="20"/>
  <c r="JI22" i="20" s="1"/>
  <c r="FC138" i="28"/>
  <c r="BA26" i="28"/>
  <c r="BC25" i="28"/>
  <c r="HK24" i="28"/>
  <c r="CD24" i="28"/>
  <c r="CC24" i="28"/>
  <c r="HZ24" i="28"/>
  <c r="DB24" i="20"/>
  <c r="DA24" i="20"/>
  <c r="DP24" i="20" s="1"/>
  <c r="FA138" i="20"/>
  <c r="FC23" i="28"/>
  <c r="BV30" i="20"/>
  <c r="DE22" i="20"/>
  <c r="DN22" i="20" s="1"/>
  <c r="DF22" i="20"/>
  <c r="DG22" i="20" s="1"/>
  <c r="DM22" i="20" s="1"/>
  <c r="CH23" i="28"/>
  <c r="BN28" i="20"/>
  <c r="BQ26" i="28"/>
  <c r="BS25" i="28"/>
  <c r="EJ23" i="20"/>
  <c r="EI23" i="20"/>
  <c r="BM25" i="28"/>
  <c r="BO24" i="28"/>
  <c r="BY24" i="28" s="1"/>
  <c r="FR23" i="28"/>
  <c r="BU26" i="20"/>
  <c r="BW25" i="20"/>
  <c r="AA9" i="20"/>
  <c r="IA40" i="20"/>
  <c r="AZ42" i="20"/>
  <c r="BB31" i="20"/>
  <c r="BK28" i="20"/>
  <c r="BJ29" i="20"/>
  <c r="BY23" i="28"/>
  <c r="HZ24" i="20"/>
  <c r="HX24" i="20" s="1"/>
  <c r="HK24" i="20"/>
  <c r="HI24" i="20" s="1"/>
  <c r="GV24" i="20"/>
  <c r="GT24" i="20" s="1"/>
  <c r="CC24" i="20"/>
  <c r="CD24" i="20"/>
  <c r="CE24" i="20"/>
  <c r="CW24" i="20"/>
  <c r="DR24" i="20" s="1"/>
  <c r="EJ24" i="20" s="1"/>
  <c r="AA10" i="28"/>
  <c r="AB11" i="28" s="1"/>
  <c r="AD11" i="28" s="1"/>
  <c r="AF11" i="28" s="1"/>
  <c r="AH11" i="28" s="1"/>
  <c r="AJ11" i="28" s="1"/>
  <c r="AL11" i="28" s="1"/>
  <c r="AM11" i="28" s="1"/>
  <c r="CF23" i="28"/>
  <c r="BA26" i="20"/>
  <c r="BC25" i="20"/>
  <c r="BG26" i="20"/>
  <c r="BF27" i="20"/>
  <c r="EH23" i="20"/>
  <c r="GV24" i="28"/>
  <c r="CE24" i="28"/>
  <c r="GG23" i="28"/>
  <c r="BS30" i="20"/>
  <c r="BR31" i="20"/>
  <c r="EE21" i="20"/>
  <c r="EC21" i="20" s="1"/>
  <c r="DD23" i="20"/>
  <c r="DC23" i="20"/>
  <c r="DO23" i="20" s="1"/>
  <c r="EG23" i="20" s="1"/>
  <c r="BI26" i="28"/>
  <c r="BK25" i="28"/>
  <c r="EC20" i="20"/>
  <c r="FC141" i="35" l="1"/>
  <c r="JO23" i="35"/>
  <c r="JP23" i="35" s="1"/>
  <c r="GG26" i="35"/>
  <c r="BS28" i="35"/>
  <c r="BQ29" i="35"/>
  <c r="BY26" i="35"/>
  <c r="CE26" i="35"/>
  <c r="CG26" i="35"/>
  <c r="BE28" i="35"/>
  <c r="BG27" i="35"/>
  <c r="GV27" i="35" s="1"/>
  <c r="BB29" i="35"/>
  <c r="BC28" i="35"/>
  <c r="BV29" i="35"/>
  <c r="BW28" i="35"/>
  <c r="BJ31" i="35"/>
  <c r="BK30" i="35"/>
  <c r="HZ27" i="35"/>
  <c r="GV26" i="35"/>
  <c r="FR26" i="35"/>
  <c r="HK26" i="35"/>
  <c r="BF31" i="35"/>
  <c r="CC27" i="35"/>
  <c r="CF26" i="35"/>
  <c r="CD26" i="35"/>
  <c r="CH26" i="35"/>
  <c r="BO28" i="35"/>
  <c r="BN29" i="35"/>
  <c r="FH144" i="20"/>
  <c r="FJ144" i="35"/>
  <c r="FC139" i="20"/>
  <c r="JN24" i="20"/>
  <c r="JO24" i="20" s="1"/>
  <c r="FI145" i="20"/>
  <c r="FK146" i="20"/>
  <c r="FJ146" i="20"/>
  <c r="FD141" i="20"/>
  <c r="FE141" i="20"/>
  <c r="FA138" i="28"/>
  <c r="FG141" i="35"/>
  <c r="FK145" i="35"/>
  <c r="JP24" i="20"/>
  <c r="JQ24" i="20" s="1"/>
  <c r="BD27" i="20"/>
  <c r="GW26" i="20"/>
  <c r="HL26" i="20"/>
  <c r="FS26" i="20"/>
  <c r="BX26" i="20"/>
  <c r="FD26" i="20"/>
  <c r="GH26" i="20"/>
  <c r="FJ32" i="20"/>
  <c r="HR32" i="20"/>
  <c r="IG32" i="20"/>
  <c r="GN32" i="20"/>
  <c r="FY32" i="20"/>
  <c r="IV32" i="20"/>
  <c r="HC32" i="20"/>
  <c r="CQ32" i="20"/>
  <c r="DX32" i="20"/>
  <c r="EP32" i="20" s="1"/>
  <c r="IW33" i="20"/>
  <c r="HD33" i="20"/>
  <c r="HS33" i="20"/>
  <c r="IH33" i="20"/>
  <c r="GO33" i="20"/>
  <c r="FZ33" i="20"/>
  <c r="FK33" i="20"/>
  <c r="CP33" i="20"/>
  <c r="DY33" i="20"/>
  <c r="EQ33" i="20" s="1"/>
  <c r="HS31" i="35"/>
  <c r="FK31" i="35"/>
  <c r="HD31" i="35"/>
  <c r="IW31" i="35"/>
  <c r="FZ31" i="35"/>
  <c r="GO31" i="35"/>
  <c r="IH31" i="35"/>
  <c r="CO32" i="35"/>
  <c r="DZ32" i="35"/>
  <c r="ER32" i="35" s="1"/>
  <c r="AP34" i="35"/>
  <c r="CN33" i="35"/>
  <c r="CB33" i="35"/>
  <c r="CN35" i="20"/>
  <c r="AP36" i="20"/>
  <c r="CB35" i="20"/>
  <c r="DZ34" i="20"/>
  <c r="CO34" i="20"/>
  <c r="IU31" i="20"/>
  <c r="IF31" i="20"/>
  <c r="GM31" i="20"/>
  <c r="FX31" i="20"/>
  <c r="HB31" i="20"/>
  <c r="HQ31" i="20"/>
  <c r="FI31" i="20"/>
  <c r="HS32" i="20"/>
  <c r="FZ32" i="20"/>
  <c r="FK32" i="20"/>
  <c r="IH32" i="20"/>
  <c r="HD32" i="20"/>
  <c r="IW32" i="20"/>
  <c r="GO32" i="20"/>
  <c r="IV31" i="20"/>
  <c r="FY31" i="20"/>
  <c r="FJ31" i="20"/>
  <c r="HC31" i="20"/>
  <c r="IG31" i="20"/>
  <c r="HR31" i="20"/>
  <c r="GN31" i="20"/>
  <c r="DY31" i="35"/>
  <c r="EQ31" i="35" s="1"/>
  <c r="CP31" i="35"/>
  <c r="DW31" i="20"/>
  <c r="EO31" i="20" s="1"/>
  <c r="CR31" i="20"/>
  <c r="GE23" i="20"/>
  <c r="FA139" i="20" s="1"/>
  <c r="JJ22" i="20"/>
  <c r="JK22" i="20" s="1"/>
  <c r="JA22" i="20" s="1"/>
  <c r="JL24" i="20"/>
  <c r="JM24" i="20" s="1"/>
  <c r="BU31" i="35"/>
  <c r="CF24" i="20"/>
  <c r="JQ23" i="35"/>
  <c r="JR23" i="35" s="1"/>
  <c r="FF140" i="35"/>
  <c r="FH141" i="35"/>
  <c r="FI143" i="35"/>
  <c r="JS22" i="35"/>
  <c r="JT22" i="35" s="1"/>
  <c r="JM23" i="35"/>
  <c r="JN23" i="35" s="1"/>
  <c r="HO26" i="35"/>
  <c r="GZ26" i="35"/>
  <c r="IS26" i="35"/>
  <c r="GK26" i="35"/>
  <c r="FG26" i="35"/>
  <c r="FV26" i="35"/>
  <c r="ID26" i="35"/>
  <c r="IH30" i="35"/>
  <c r="HS30" i="35"/>
  <c r="HD30" i="35"/>
  <c r="FK30" i="35"/>
  <c r="GO30" i="35"/>
  <c r="FZ30" i="35"/>
  <c r="IW30" i="35"/>
  <c r="DT25" i="35"/>
  <c r="CU25" i="35"/>
  <c r="CT26" i="35"/>
  <c r="DU26" i="35"/>
  <c r="EM26" i="35" s="1"/>
  <c r="CR28" i="35"/>
  <c r="DW28" i="35"/>
  <c r="CX23" i="35"/>
  <c r="CW23" i="35"/>
  <c r="DR23" i="35" s="1"/>
  <c r="EJ23" i="35" s="1"/>
  <c r="EO27" i="35"/>
  <c r="JI21" i="35"/>
  <c r="JJ21" i="35" s="1"/>
  <c r="JA21" i="35" s="1"/>
  <c r="IU28" i="35"/>
  <c r="FI28" i="35"/>
  <c r="FX28" i="35"/>
  <c r="IF28" i="35"/>
  <c r="HQ28" i="35"/>
  <c r="GM28" i="35"/>
  <c r="HB28" i="35"/>
  <c r="DV27" i="35"/>
  <c r="EN27" i="35" s="1"/>
  <c r="CS27" i="35"/>
  <c r="FE139" i="35"/>
  <c r="FP23" i="35"/>
  <c r="CV24" i="35"/>
  <c r="DS24" i="35"/>
  <c r="EK24" i="35" s="1"/>
  <c r="EJ22" i="35"/>
  <c r="EI21" i="35"/>
  <c r="IQ24" i="35"/>
  <c r="IM24" i="35" s="1"/>
  <c r="HM24" i="35"/>
  <c r="HI24" i="35" s="1"/>
  <c r="JO24" i="35" s="1"/>
  <c r="JP24" i="35" s="1"/>
  <c r="GX24" i="35"/>
  <c r="GT24" i="35" s="1"/>
  <c r="IB24" i="35"/>
  <c r="HX24" i="35" s="1"/>
  <c r="JQ24" i="35" s="1"/>
  <c r="JR24" i="35" s="1"/>
  <c r="FE24" i="35"/>
  <c r="FA24" i="35" s="1"/>
  <c r="GI24" i="35"/>
  <c r="GE24" i="35" s="1"/>
  <c r="FT24" i="35"/>
  <c r="CY22" i="35"/>
  <c r="DQ22" i="35" s="1"/>
  <c r="EI22" i="35" s="1"/>
  <c r="CZ22" i="35"/>
  <c r="EH20" i="35"/>
  <c r="JG23" i="35"/>
  <c r="JH23" i="35" s="1"/>
  <c r="EF18" i="35"/>
  <c r="EE18" i="35"/>
  <c r="DA21" i="35"/>
  <c r="DP21" i="35" s="1"/>
  <c r="EH21" i="35" s="1"/>
  <c r="DB21" i="35"/>
  <c r="EG19" i="35"/>
  <c r="DD20" i="35"/>
  <c r="DC20" i="35"/>
  <c r="DO20" i="35" s="1"/>
  <c r="EQ29" i="35"/>
  <c r="IZ23" i="35"/>
  <c r="GL26" i="35"/>
  <c r="FW26" i="35"/>
  <c r="HP26" i="35"/>
  <c r="FH26" i="35"/>
  <c r="IT26" i="35"/>
  <c r="HA26" i="35"/>
  <c r="IE26" i="35"/>
  <c r="DF19" i="35"/>
  <c r="DG19" i="35" s="1"/>
  <c r="DM19" i="35" s="1"/>
  <c r="DE19" i="35"/>
  <c r="DN19" i="35" s="1"/>
  <c r="CQ29" i="35"/>
  <c r="DX29" i="35"/>
  <c r="EP29" i="35" s="1"/>
  <c r="FA138" i="35"/>
  <c r="D61" i="34" s="1"/>
  <c r="JI22" i="35"/>
  <c r="JJ22" i="35" s="1"/>
  <c r="JA22" i="35" s="1"/>
  <c r="DY30" i="35"/>
  <c r="EQ30" i="35" s="1"/>
  <c r="CP30" i="35"/>
  <c r="FF25" i="35"/>
  <c r="GY25" i="35"/>
  <c r="FU25" i="35"/>
  <c r="IC25" i="35"/>
  <c r="GJ25" i="35"/>
  <c r="IR25" i="35"/>
  <c r="HN25" i="35"/>
  <c r="JK23" i="35"/>
  <c r="JL23" i="35" s="1"/>
  <c r="IZ25" i="20"/>
  <c r="JL21" i="28"/>
  <c r="JM21" i="28" s="1"/>
  <c r="JB21" i="28" s="1"/>
  <c r="FC24" i="20"/>
  <c r="FA24" i="20" s="1"/>
  <c r="JF24" i="20" s="1"/>
  <c r="JG24" i="20" s="1"/>
  <c r="GG24" i="20"/>
  <c r="CG24" i="20"/>
  <c r="BY24" i="20"/>
  <c r="CH24" i="20"/>
  <c r="JH22" i="28"/>
  <c r="JI22" i="28" s="1"/>
  <c r="BM26" i="20"/>
  <c r="BO25" i="20"/>
  <c r="BY25" i="20" s="1"/>
  <c r="HL32" i="35"/>
  <c r="IA32" i="35"/>
  <c r="GW32" i="35"/>
  <c r="GH32" i="35"/>
  <c r="FD147" i="35"/>
  <c r="FS32" i="35"/>
  <c r="FD32" i="35"/>
  <c r="AZ33" i="35"/>
  <c r="BX32" i="35"/>
  <c r="JJ22" i="28"/>
  <c r="JK22" i="28" s="1"/>
  <c r="FD146" i="28"/>
  <c r="CY25" i="20"/>
  <c r="DQ25" i="20" s="1"/>
  <c r="FI143" i="28"/>
  <c r="FK145" i="28"/>
  <c r="CN33" i="28"/>
  <c r="AP34" i="28"/>
  <c r="CB33" i="28"/>
  <c r="FT26" i="20"/>
  <c r="GX26" i="20"/>
  <c r="IQ26" i="20"/>
  <c r="IB26" i="20"/>
  <c r="HM26" i="20"/>
  <c r="FE26" i="20"/>
  <c r="GI26" i="20"/>
  <c r="EO29" i="20"/>
  <c r="DS26" i="20"/>
  <c r="EK26" i="20" s="1"/>
  <c r="CV26" i="20"/>
  <c r="CX26" i="20" s="1"/>
  <c r="CZ26" i="20" s="1"/>
  <c r="DW30" i="20"/>
  <c r="EO30" i="20" s="1"/>
  <c r="CR30" i="20"/>
  <c r="GJ27" i="20"/>
  <c r="HN27" i="20"/>
  <c r="FU27" i="20"/>
  <c r="IC27" i="20"/>
  <c r="GY27" i="20"/>
  <c r="IR27" i="20"/>
  <c r="FF27" i="20"/>
  <c r="FV27" i="20"/>
  <c r="GZ27" i="20"/>
  <c r="IS27" i="20"/>
  <c r="ID27" i="20"/>
  <c r="HO27" i="20"/>
  <c r="GK27" i="20"/>
  <c r="FG27" i="20"/>
  <c r="FU26" i="20"/>
  <c r="GJ26" i="20"/>
  <c r="FF26" i="20"/>
  <c r="IR26" i="20"/>
  <c r="HN26" i="20"/>
  <c r="GY26" i="20"/>
  <c r="IC26" i="20"/>
  <c r="CT28" i="20"/>
  <c r="DU28" i="20"/>
  <c r="EM28" i="20" s="1"/>
  <c r="DT27" i="20"/>
  <c r="EL27" i="20" s="1"/>
  <c r="CU27" i="20"/>
  <c r="FV28" i="20"/>
  <c r="GZ28" i="20"/>
  <c r="HO28" i="20"/>
  <c r="FG28" i="20"/>
  <c r="GK28" i="20"/>
  <c r="ID28" i="20"/>
  <c r="IS28" i="20"/>
  <c r="CS29" i="20"/>
  <c r="DV29" i="20"/>
  <c r="EN29" i="20" s="1"/>
  <c r="IU30" i="20"/>
  <c r="HB30" i="20"/>
  <c r="HQ30" i="20"/>
  <c r="GM30" i="20"/>
  <c r="FX30" i="20"/>
  <c r="IF30" i="20"/>
  <c r="FI30" i="20"/>
  <c r="FH142" i="28"/>
  <c r="FI142" i="28"/>
  <c r="FJ144" i="28"/>
  <c r="FE139" i="28"/>
  <c r="FG141" i="28"/>
  <c r="FF139" i="28"/>
  <c r="FF140" i="28"/>
  <c r="HX23" i="28"/>
  <c r="JR23" i="28" s="1"/>
  <c r="JS23" i="28" s="1"/>
  <c r="FP23" i="28"/>
  <c r="HI23" i="28"/>
  <c r="JP23" i="28" s="1"/>
  <c r="JQ23" i="28" s="1"/>
  <c r="GT23" i="28"/>
  <c r="JN23" i="28" s="1"/>
  <c r="JO23" i="28" s="1"/>
  <c r="JT22" i="28"/>
  <c r="JU22" i="28" s="1"/>
  <c r="IV29" i="28"/>
  <c r="HC29" i="28"/>
  <c r="HR29" i="28"/>
  <c r="FY29" i="28"/>
  <c r="GN29" i="28"/>
  <c r="FJ29" i="28"/>
  <c r="IG29" i="28"/>
  <c r="IQ24" i="28"/>
  <c r="IM24" i="28" s="1"/>
  <c r="GI24" i="28"/>
  <c r="HM24" i="28"/>
  <c r="HI24" i="28" s="1"/>
  <c r="FE24" i="28"/>
  <c r="IB24" i="28"/>
  <c r="HX24" i="28" s="1"/>
  <c r="GX24" i="28"/>
  <c r="GT24" i="28" s="1"/>
  <c r="FT24" i="28"/>
  <c r="DW28" i="28"/>
  <c r="EO28" i="28" s="1"/>
  <c r="CR28" i="28"/>
  <c r="CX23" i="28"/>
  <c r="CW23" i="28"/>
  <c r="DR23" i="28" s="1"/>
  <c r="DY30" i="28"/>
  <c r="EQ30" i="28" s="1"/>
  <c r="CP30" i="28"/>
  <c r="EF18" i="28"/>
  <c r="EE18" i="28"/>
  <c r="HD30" i="28"/>
  <c r="HS30" i="28"/>
  <c r="IW30" i="28"/>
  <c r="IH30" i="28"/>
  <c r="FK30" i="28"/>
  <c r="GO30" i="28"/>
  <c r="FZ30" i="28"/>
  <c r="FA23" i="28"/>
  <c r="DC20" i="28"/>
  <c r="DO20" i="28" s="1"/>
  <c r="DD20" i="28"/>
  <c r="EJ22" i="28"/>
  <c r="IR25" i="28"/>
  <c r="FF25" i="28"/>
  <c r="GY25" i="28"/>
  <c r="HN25" i="28"/>
  <c r="IC25" i="28"/>
  <c r="GJ25" i="28"/>
  <c r="FU25" i="28"/>
  <c r="GL27" i="28"/>
  <c r="IE27" i="28"/>
  <c r="IT27" i="28"/>
  <c r="HA27" i="28"/>
  <c r="FW27" i="28"/>
  <c r="HP27" i="28"/>
  <c r="FH27" i="28"/>
  <c r="DT25" i="28"/>
  <c r="EL25" i="28" s="1"/>
  <c r="CU25" i="28"/>
  <c r="CN32" i="28"/>
  <c r="CB32" i="28"/>
  <c r="CZ22" i="28"/>
  <c r="CY22" i="28"/>
  <c r="DQ22" i="28" s="1"/>
  <c r="EI22" i="28" s="1"/>
  <c r="CS27" i="28"/>
  <c r="DV27" i="28"/>
  <c r="EN27" i="28" s="1"/>
  <c r="FG26" i="28"/>
  <c r="GZ26" i="28"/>
  <c r="FV26" i="28"/>
  <c r="GK26" i="28"/>
  <c r="ID26" i="28"/>
  <c r="IS26" i="28"/>
  <c r="HO26" i="28"/>
  <c r="DZ31" i="28"/>
  <c r="ER31" i="28" s="1"/>
  <c r="CO31" i="28"/>
  <c r="DB21" i="28"/>
  <c r="DA21" i="28"/>
  <c r="DP21" i="28" s="1"/>
  <c r="EH21" i="28" s="1"/>
  <c r="JS23" i="20"/>
  <c r="JR24" i="20"/>
  <c r="CT26" i="28"/>
  <c r="DU26" i="28"/>
  <c r="EM26" i="28" s="1"/>
  <c r="DX29" i="28"/>
  <c r="EP29" i="28" s="1"/>
  <c r="CQ29" i="28"/>
  <c r="DE19" i="28"/>
  <c r="DN19" i="28" s="1"/>
  <c r="DF19" i="28"/>
  <c r="DG19" i="28" s="1"/>
  <c r="DM19" i="28" s="1"/>
  <c r="DS24" i="28"/>
  <c r="EK24" i="28" s="1"/>
  <c r="CV24" i="28"/>
  <c r="EP28" i="28"/>
  <c r="IM23" i="28"/>
  <c r="AZ34" i="28"/>
  <c r="AZ35" i="28" s="1"/>
  <c r="AZ36" i="28" s="1"/>
  <c r="AZ37" i="28" s="1"/>
  <c r="AZ38" i="28" s="1"/>
  <c r="AZ39" i="28" s="1"/>
  <c r="AZ40" i="28" s="1"/>
  <c r="GW33" i="28"/>
  <c r="IA33" i="28"/>
  <c r="HL33" i="28"/>
  <c r="FS33" i="28"/>
  <c r="BX33" i="28"/>
  <c r="GH33" i="28"/>
  <c r="FD33" i="28"/>
  <c r="IA32" i="28"/>
  <c r="HL32" i="28"/>
  <c r="GW32" i="28"/>
  <c r="GH32" i="28"/>
  <c r="BX32" i="28"/>
  <c r="FD32" i="28"/>
  <c r="FS32" i="28"/>
  <c r="BV29" i="28"/>
  <c r="BW28" i="28"/>
  <c r="BF29" i="28"/>
  <c r="BG28" i="28"/>
  <c r="HL31" i="28"/>
  <c r="GW31" i="28"/>
  <c r="IA31" i="28"/>
  <c r="FD31" i="28"/>
  <c r="GH31" i="28"/>
  <c r="FS31" i="28"/>
  <c r="BX31" i="28"/>
  <c r="JH23" i="20"/>
  <c r="JI23" i="20" s="1"/>
  <c r="CC25" i="28"/>
  <c r="HK25" i="28"/>
  <c r="HZ25" i="28"/>
  <c r="CD25" i="28"/>
  <c r="BA27" i="28"/>
  <c r="BC26" i="28"/>
  <c r="CH24" i="28"/>
  <c r="CF24" i="28"/>
  <c r="CG24" i="28"/>
  <c r="GG24" i="28"/>
  <c r="FC24" i="28"/>
  <c r="FR24" i="28"/>
  <c r="BI27" i="28"/>
  <c r="BK26" i="28"/>
  <c r="BN29" i="20"/>
  <c r="AM10" i="28"/>
  <c r="X10" i="28"/>
  <c r="EI24" i="20"/>
  <c r="HZ25" i="20"/>
  <c r="HX25" i="20" s="1"/>
  <c r="HK25" i="20"/>
  <c r="HI25" i="20" s="1"/>
  <c r="GV25" i="20"/>
  <c r="GT25" i="20" s="1"/>
  <c r="CE25" i="20"/>
  <c r="CD25" i="20"/>
  <c r="CC25" i="20"/>
  <c r="CW25" i="20"/>
  <c r="DR25" i="20" s="1"/>
  <c r="EJ25" i="20" s="1"/>
  <c r="DA25" i="20"/>
  <c r="DP25" i="20" s="1"/>
  <c r="DB25" i="20"/>
  <c r="BK29" i="20"/>
  <c r="BJ30" i="20"/>
  <c r="BU27" i="20"/>
  <c r="BW26" i="20"/>
  <c r="BA27" i="20"/>
  <c r="BC26" i="20"/>
  <c r="GV25" i="28"/>
  <c r="CE25" i="28"/>
  <c r="FC139" i="28"/>
  <c r="GE23" i="28"/>
  <c r="BB32" i="20"/>
  <c r="EF22" i="20"/>
  <c r="EE22" i="20"/>
  <c r="EH24" i="20"/>
  <c r="BV31" i="20"/>
  <c r="DD24" i="20"/>
  <c r="DC24" i="20"/>
  <c r="DO24" i="20" s="1"/>
  <c r="BM26" i="28"/>
  <c r="BO25" i="28"/>
  <c r="GG25" i="28" s="1"/>
  <c r="BQ27" i="28"/>
  <c r="BS26" i="28"/>
  <c r="DF23" i="20"/>
  <c r="DG23" i="20" s="1"/>
  <c r="DM23" i="20" s="1"/>
  <c r="DE23" i="20"/>
  <c r="DN23" i="20" s="1"/>
  <c r="BS31" i="20"/>
  <c r="BR32" i="20"/>
  <c r="BG27" i="20"/>
  <c r="BF28" i="20"/>
  <c r="JN25" i="20" l="1"/>
  <c r="JO25" i="20" s="1"/>
  <c r="GG27" i="35"/>
  <c r="FC142" i="35"/>
  <c r="HK27" i="35"/>
  <c r="CD27" i="35"/>
  <c r="FC27" i="35"/>
  <c r="BY27" i="35"/>
  <c r="FR27" i="35"/>
  <c r="FC143" i="35" s="1"/>
  <c r="BQ30" i="35"/>
  <c r="BS29" i="35"/>
  <c r="BJ32" i="35"/>
  <c r="BK31" i="35"/>
  <c r="BV30" i="35"/>
  <c r="BW29" i="35"/>
  <c r="BF32" i="35"/>
  <c r="CC28" i="35"/>
  <c r="HZ28" i="35"/>
  <c r="BN30" i="35"/>
  <c r="BO29" i="35"/>
  <c r="BB30" i="35"/>
  <c r="BC29" i="35"/>
  <c r="CH27" i="35"/>
  <c r="CE27" i="35"/>
  <c r="CF27" i="35"/>
  <c r="CG27" i="35"/>
  <c r="BE29" i="35"/>
  <c r="BG28" i="35"/>
  <c r="CG28" i="35" s="1"/>
  <c r="JP25" i="20"/>
  <c r="JQ25" i="20" s="1"/>
  <c r="FG144" i="20"/>
  <c r="FI147" i="20"/>
  <c r="FI146" i="20"/>
  <c r="FK148" i="20"/>
  <c r="FJ147" i="20"/>
  <c r="FF141" i="35"/>
  <c r="FK146" i="35"/>
  <c r="FD142" i="20"/>
  <c r="FC140" i="20"/>
  <c r="FK149" i="20"/>
  <c r="FJ148" i="20"/>
  <c r="FF143" i="20"/>
  <c r="FE142" i="20"/>
  <c r="FF142" i="20"/>
  <c r="FG143" i="20"/>
  <c r="FH142" i="35"/>
  <c r="FK147" i="35"/>
  <c r="JL25" i="20"/>
  <c r="JM25" i="20" s="1"/>
  <c r="BD28" i="20"/>
  <c r="FD27" i="20"/>
  <c r="GH27" i="20"/>
  <c r="BX27" i="20"/>
  <c r="GW27" i="20"/>
  <c r="FS27" i="20"/>
  <c r="HL27" i="20"/>
  <c r="IE31" i="20"/>
  <c r="FH31" i="20"/>
  <c r="GL31" i="20"/>
  <c r="FW31" i="20"/>
  <c r="IT31" i="20"/>
  <c r="HP31" i="20"/>
  <c r="HA31" i="20"/>
  <c r="CQ31" i="35"/>
  <c r="DX31" i="35"/>
  <c r="CP34" i="20"/>
  <c r="DY34" i="20"/>
  <c r="EQ34" i="20" s="1"/>
  <c r="DZ33" i="35"/>
  <c r="CO33" i="35"/>
  <c r="DW32" i="20"/>
  <c r="CR32" i="20"/>
  <c r="IV31" i="35"/>
  <c r="FJ31" i="35"/>
  <c r="IG31" i="35"/>
  <c r="FY31" i="35"/>
  <c r="HC31" i="35"/>
  <c r="GN31" i="35"/>
  <c r="HR31" i="35"/>
  <c r="ER34" i="20"/>
  <c r="AP35" i="35"/>
  <c r="CN34" i="35"/>
  <c r="CB34" i="35"/>
  <c r="CS31" i="20"/>
  <c r="DV31" i="20"/>
  <c r="EN31" i="20" s="1"/>
  <c r="IW32" i="35"/>
  <c r="GO32" i="35"/>
  <c r="FK32" i="35"/>
  <c r="HD32" i="35"/>
  <c r="FZ32" i="35"/>
  <c r="HS32" i="35"/>
  <c r="IH32" i="35"/>
  <c r="CN36" i="20"/>
  <c r="AP37" i="20"/>
  <c r="CB36" i="20"/>
  <c r="CP32" i="35"/>
  <c r="DY32" i="35"/>
  <c r="EQ32" i="35" s="1"/>
  <c r="GN33" i="20"/>
  <c r="FY33" i="20"/>
  <c r="IV33" i="20"/>
  <c r="FJ33" i="20"/>
  <c r="IG33" i="20"/>
  <c r="HR33" i="20"/>
  <c r="HC33" i="20"/>
  <c r="DZ35" i="20"/>
  <c r="ER35" i="20" s="1"/>
  <c r="CO35" i="20"/>
  <c r="CQ33" i="20"/>
  <c r="DX33" i="20"/>
  <c r="EP33" i="20" s="1"/>
  <c r="FI32" i="20"/>
  <c r="HB32" i="20"/>
  <c r="GM32" i="20"/>
  <c r="IU32" i="20"/>
  <c r="FX32" i="20"/>
  <c r="IF32" i="20"/>
  <c r="HQ32" i="20"/>
  <c r="JJ23" i="20"/>
  <c r="JK23" i="20" s="1"/>
  <c r="JA23" i="20" s="1"/>
  <c r="EE19" i="35"/>
  <c r="JS23" i="35"/>
  <c r="JT23" i="35" s="1"/>
  <c r="GE24" i="20"/>
  <c r="FA140" i="20" s="1"/>
  <c r="BU32" i="35"/>
  <c r="JM24" i="35"/>
  <c r="JN24" i="35" s="1"/>
  <c r="FG142" i="35"/>
  <c r="JK24" i="35"/>
  <c r="JL24" i="35" s="1"/>
  <c r="FI144" i="35"/>
  <c r="IF29" i="35"/>
  <c r="FI29" i="35"/>
  <c r="FX29" i="35"/>
  <c r="GM29" i="35"/>
  <c r="IU29" i="35"/>
  <c r="HB29" i="35"/>
  <c r="HQ29" i="35"/>
  <c r="IV30" i="35"/>
  <c r="FJ30" i="35"/>
  <c r="HC30" i="35"/>
  <c r="FY30" i="35"/>
  <c r="HR30" i="35"/>
  <c r="IG30" i="35"/>
  <c r="GN30" i="35"/>
  <c r="EC18" i="35"/>
  <c r="FV27" i="35"/>
  <c r="FG27" i="35"/>
  <c r="ID27" i="35"/>
  <c r="GK27" i="35"/>
  <c r="HO27" i="35"/>
  <c r="GZ27" i="35"/>
  <c r="IS27" i="35"/>
  <c r="DS25" i="35"/>
  <c r="EK25" i="35" s="1"/>
  <c r="CV25" i="35"/>
  <c r="GN29" i="35"/>
  <c r="HC29" i="35"/>
  <c r="HR29" i="35"/>
  <c r="IG29" i="35"/>
  <c r="FJ29" i="35"/>
  <c r="IV29" i="35"/>
  <c r="FY29" i="35"/>
  <c r="JG24" i="35"/>
  <c r="JH24" i="35" s="1"/>
  <c r="HA27" i="35"/>
  <c r="IE27" i="35"/>
  <c r="FW27" i="35"/>
  <c r="GL27" i="35"/>
  <c r="FH27" i="35"/>
  <c r="HP27" i="35"/>
  <c r="IT27" i="35"/>
  <c r="EL25" i="35"/>
  <c r="DF20" i="35"/>
  <c r="DG20" i="35" s="1"/>
  <c r="DM20" i="35" s="1"/>
  <c r="DE20" i="35"/>
  <c r="DN20" i="35" s="1"/>
  <c r="EG20" i="35"/>
  <c r="CW24" i="35"/>
  <c r="DR24" i="35" s="1"/>
  <c r="EJ24" i="35" s="1"/>
  <c r="CX24" i="35"/>
  <c r="CY23" i="35"/>
  <c r="DQ23" i="35" s="1"/>
  <c r="EI23" i="35" s="1"/>
  <c r="CZ23" i="35"/>
  <c r="CR29" i="35"/>
  <c r="DW29" i="35"/>
  <c r="EO29" i="35" s="1"/>
  <c r="EF19" i="35"/>
  <c r="FA139" i="35"/>
  <c r="D62" i="34" s="1"/>
  <c r="JI23" i="35"/>
  <c r="JJ23" i="35" s="1"/>
  <c r="JA23" i="35" s="1"/>
  <c r="EO28" i="35"/>
  <c r="DB22" i="35"/>
  <c r="DA22" i="35"/>
  <c r="DP22" i="35" s="1"/>
  <c r="EH22" i="35" s="1"/>
  <c r="IZ24" i="35"/>
  <c r="CS28" i="35"/>
  <c r="DV28" i="35"/>
  <c r="EN28" i="35" s="1"/>
  <c r="DC21" i="35"/>
  <c r="DO21" i="35" s="1"/>
  <c r="EG21" i="35" s="1"/>
  <c r="DD21" i="35"/>
  <c r="CT27" i="35"/>
  <c r="DU27" i="35"/>
  <c r="EM27" i="35" s="1"/>
  <c r="IR26" i="35"/>
  <c r="FF26" i="35"/>
  <c r="IC26" i="35"/>
  <c r="FU26" i="35"/>
  <c r="GY26" i="35"/>
  <c r="GJ26" i="35"/>
  <c r="HN26" i="35"/>
  <c r="CQ30" i="35"/>
  <c r="DX30" i="35"/>
  <c r="EP30" i="35" s="1"/>
  <c r="FE140" i="35"/>
  <c r="FP24" i="35"/>
  <c r="DT26" i="35"/>
  <c r="EL26" i="35" s="1"/>
  <c r="CU26" i="35"/>
  <c r="JL22" i="28"/>
  <c r="JM22" i="28" s="1"/>
  <c r="JB22" i="28" s="1"/>
  <c r="CF25" i="20"/>
  <c r="CG25" i="20"/>
  <c r="GG25" i="20"/>
  <c r="GE25" i="20" s="1"/>
  <c r="FR25" i="20"/>
  <c r="FP25" i="20" s="1"/>
  <c r="CH25" i="20"/>
  <c r="FC25" i="20"/>
  <c r="FA25" i="20" s="1"/>
  <c r="JF25" i="20" s="1"/>
  <c r="JG25" i="20" s="1"/>
  <c r="FD148" i="35"/>
  <c r="JH23" i="28"/>
  <c r="JI23" i="28" s="1"/>
  <c r="IA33" i="35"/>
  <c r="GH33" i="35"/>
  <c r="GW33" i="35"/>
  <c r="HL33" i="35"/>
  <c r="BM27" i="20"/>
  <c r="BO26" i="20"/>
  <c r="CG26" i="20" s="1"/>
  <c r="FD33" i="35"/>
  <c r="FS33" i="35"/>
  <c r="AZ34" i="35"/>
  <c r="BX33" i="35"/>
  <c r="FP24" i="28"/>
  <c r="JJ23" i="28"/>
  <c r="JK23" i="28" s="1"/>
  <c r="AA9" i="28"/>
  <c r="GW40" i="28"/>
  <c r="IA40" i="28"/>
  <c r="HL40" i="28"/>
  <c r="BX40" i="28"/>
  <c r="FS40" i="28"/>
  <c r="FD40" i="28"/>
  <c r="GH40" i="28"/>
  <c r="IA39" i="28"/>
  <c r="HL39" i="28"/>
  <c r="GW39" i="28"/>
  <c r="FD39" i="28"/>
  <c r="GH39" i="28"/>
  <c r="FS39" i="28"/>
  <c r="BX39" i="28"/>
  <c r="HL38" i="28"/>
  <c r="GW38" i="28"/>
  <c r="IA38" i="28"/>
  <c r="FD38" i="28"/>
  <c r="BX38" i="28"/>
  <c r="FS38" i="28"/>
  <c r="GH38" i="28"/>
  <c r="HL37" i="28"/>
  <c r="GW37" i="28"/>
  <c r="IA37" i="28"/>
  <c r="GH37" i="28"/>
  <c r="FS37" i="28"/>
  <c r="BX37" i="28"/>
  <c r="FD37" i="28"/>
  <c r="IA36" i="28"/>
  <c r="HL36" i="28"/>
  <c r="GW36" i="28"/>
  <c r="BX36" i="28"/>
  <c r="FD36" i="28"/>
  <c r="FS36" i="28"/>
  <c r="GH36" i="28"/>
  <c r="IA35" i="28"/>
  <c r="GW35" i="28"/>
  <c r="HL35" i="28"/>
  <c r="BX35" i="28"/>
  <c r="FD35" i="28"/>
  <c r="FS35" i="28"/>
  <c r="GH35" i="28"/>
  <c r="FD149" i="28"/>
  <c r="CY26" i="20"/>
  <c r="DQ26" i="20" s="1"/>
  <c r="CN34" i="28"/>
  <c r="AP35" i="28"/>
  <c r="AP36" i="28" s="1"/>
  <c r="CB34" i="28"/>
  <c r="CO33" i="28"/>
  <c r="DZ33" i="28"/>
  <c r="ER33" i="28" s="1"/>
  <c r="ID29" i="20"/>
  <c r="HO29" i="20"/>
  <c r="GK29" i="20"/>
  <c r="FG29" i="20"/>
  <c r="IS29" i="20"/>
  <c r="GZ29" i="20"/>
  <c r="FV29" i="20"/>
  <c r="GX27" i="20"/>
  <c r="IQ27" i="20"/>
  <c r="IM27" i="20" s="1"/>
  <c r="HM27" i="20"/>
  <c r="FE27" i="20"/>
  <c r="IB27" i="20"/>
  <c r="GI27" i="20"/>
  <c r="FT27" i="20"/>
  <c r="HP29" i="20"/>
  <c r="FW29" i="20"/>
  <c r="GL29" i="20"/>
  <c r="IE29" i="20"/>
  <c r="FH29" i="20"/>
  <c r="HA29" i="20"/>
  <c r="IT29" i="20"/>
  <c r="CT29" i="20"/>
  <c r="DU29" i="20"/>
  <c r="DS27" i="20"/>
  <c r="EK27" i="20" s="1"/>
  <c r="CV27" i="20"/>
  <c r="CX27" i="20" s="1"/>
  <c r="CZ27" i="20" s="1"/>
  <c r="IR28" i="20"/>
  <c r="HN28" i="20"/>
  <c r="IC28" i="20"/>
  <c r="FF28" i="20"/>
  <c r="GY28" i="20"/>
  <c r="FU28" i="20"/>
  <c r="GJ28" i="20"/>
  <c r="DV30" i="20"/>
  <c r="CS30" i="20"/>
  <c r="DT28" i="20"/>
  <c r="EL28" i="20" s="1"/>
  <c r="CU28" i="20"/>
  <c r="IE30" i="20"/>
  <c r="GL30" i="20"/>
  <c r="HP30" i="20"/>
  <c r="FH30" i="20"/>
  <c r="IT30" i="20"/>
  <c r="HA30" i="20"/>
  <c r="FW30" i="20"/>
  <c r="IM26" i="20"/>
  <c r="IZ26" i="20" s="1"/>
  <c r="JR24" i="28"/>
  <c r="JS24" i="28" s="1"/>
  <c r="FG142" i="28"/>
  <c r="FJ145" i="28"/>
  <c r="FD147" i="28"/>
  <c r="FK146" i="28"/>
  <c r="FH143" i="28"/>
  <c r="FD148" i="28"/>
  <c r="FF141" i="28"/>
  <c r="FE140" i="28"/>
  <c r="JP24" i="28"/>
  <c r="JQ24" i="28" s="1"/>
  <c r="GE24" i="28"/>
  <c r="JN24" i="28"/>
  <c r="JO24" i="28" s="1"/>
  <c r="FA24" i="28"/>
  <c r="EC18" i="28"/>
  <c r="EE19" i="28"/>
  <c r="JA23" i="28"/>
  <c r="JA24" i="28" s="1"/>
  <c r="JT23" i="28"/>
  <c r="JU23" i="28" s="1"/>
  <c r="DW29" i="28"/>
  <c r="EO29" i="28" s="1"/>
  <c r="CR29" i="28"/>
  <c r="DC21" i="28"/>
  <c r="DO21" i="28" s="1"/>
  <c r="DD21" i="28"/>
  <c r="IU29" i="28"/>
  <c r="FI29" i="28"/>
  <c r="HQ29" i="28"/>
  <c r="FX29" i="28"/>
  <c r="IF29" i="28"/>
  <c r="HB29" i="28"/>
  <c r="GM29" i="28"/>
  <c r="DZ32" i="28"/>
  <c r="ER32" i="28" s="1"/>
  <c r="CO32" i="28"/>
  <c r="IT28" i="28"/>
  <c r="FH28" i="28"/>
  <c r="HP28" i="28"/>
  <c r="FW28" i="28"/>
  <c r="HA28" i="28"/>
  <c r="GL28" i="28"/>
  <c r="IE28" i="28"/>
  <c r="HC30" i="28"/>
  <c r="GN30" i="28"/>
  <c r="IG30" i="28"/>
  <c r="FY30" i="28"/>
  <c r="FJ30" i="28"/>
  <c r="HR30" i="28"/>
  <c r="IV30" i="28"/>
  <c r="IU28" i="28"/>
  <c r="FI28" i="28"/>
  <c r="IF28" i="28"/>
  <c r="HB28" i="28"/>
  <c r="GM28" i="28"/>
  <c r="FX28" i="28"/>
  <c r="HQ28" i="28"/>
  <c r="DT26" i="28"/>
  <c r="EL26" i="28" s="1"/>
  <c r="CU26" i="28"/>
  <c r="DU27" i="28"/>
  <c r="CT27" i="28"/>
  <c r="FT25" i="28"/>
  <c r="GX25" i="28"/>
  <c r="GT25" i="28" s="1"/>
  <c r="IB25" i="28"/>
  <c r="HX25" i="28" s="1"/>
  <c r="FE25" i="28"/>
  <c r="HM25" i="28"/>
  <c r="HI25" i="28" s="1"/>
  <c r="IQ25" i="28"/>
  <c r="IM25" i="28" s="1"/>
  <c r="GI25" i="28"/>
  <c r="GE25" i="28" s="1"/>
  <c r="EJ23" i="28"/>
  <c r="CQ30" i="28"/>
  <c r="DX30" i="28"/>
  <c r="EP30" i="28" s="1"/>
  <c r="DS25" i="28"/>
  <c r="EK25" i="28" s="1"/>
  <c r="CV25" i="28"/>
  <c r="CX24" i="28"/>
  <c r="CW24" i="28"/>
  <c r="DR24" i="28" s="1"/>
  <c r="EJ24" i="28" s="1"/>
  <c r="JS24" i="20"/>
  <c r="JR25" i="20"/>
  <c r="DF20" i="28"/>
  <c r="DG20" i="28" s="1"/>
  <c r="DM20" i="28" s="1"/>
  <c r="DE20" i="28"/>
  <c r="DN20" i="28" s="1"/>
  <c r="EF20" i="28" s="1"/>
  <c r="CZ23" i="28"/>
  <c r="CY23" i="28"/>
  <c r="DQ23" i="28" s="1"/>
  <c r="EI23" i="28" s="1"/>
  <c r="CP31" i="28"/>
  <c r="DY31" i="28"/>
  <c r="EQ31" i="28" s="1"/>
  <c r="IH31" i="28"/>
  <c r="HS31" i="28"/>
  <c r="GO31" i="28"/>
  <c r="FK31" i="28"/>
  <c r="IW31" i="28"/>
  <c r="FZ31" i="28"/>
  <c r="HD31" i="28"/>
  <c r="DB22" i="28"/>
  <c r="DA22" i="28"/>
  <c r="DP22" i="28" s="1"/>
  <c r="EH22" i="28" s="1"/>
  <c r="EG20" i="28"/>
  <c r="IC26" i="28"/>
  <c r="HN26" i="28"/>
  <c r="FF26" i="28"/>
  <c r="IR26" i="28"/>
  <c r="GJ26" i="28"/>
  <c r="GY26" i="28"/>
  <c r="FU26" i="28"/>
  <c r="FV27" i="28"/>
  <c r="GK27" i="28"/>
  <c r="FG27" i="28"/>
  <c r="HO27" i="28"/>
  <c r="GZ27" i="28"/>
  <c r="ID27" i="28"/>
  <c r="IS27" i="28"/>
  <c r="EF19" i="28"/>
  <c r="CS28" i="28"/>
  <c r="DV28" i="28"/>
  <c r="EN28" i="28" s="1"/>
  <c r="GW34" i="28"/>
  <c r="HL34" i="28"/>
  <c r="IA34" i="28"/>
  <c r="FD34" i="28"/>
  <c r="GH34" i="28"/>
  <c r="BX34" i="28"/>
  <c r="FS34" i="28"/>
  <c r="AZ42" i="28"/>
  <c r="BF30" i="28"/>
  <c r="BG29" i="28"/>
  <c r="BV30" i="28"/>
  <c r="BW29" i="28"/>
  <c r="JH24" i="20"/>
  <c r="JI24" i="20" s="1"/>
  <c r="FC140" i="28"/>
  <c r="EC22" i="20"/>
  <c r="HZ26" i="28"/>
  <c r="HK26" i="28"/>
  <c r="CC26" i="28"/>
  <c r="CD26" i="28"/>
  <c r="BA28" i="28"/>
  <c r="BC27" i="28"/>
  <c r="EF23" i="20"/>
  <c r="EE23" i="20"/>
  <c r="DB26" i="20"/>
  <c r="DA26" i="20"/>
  <c r="DP26" i="20" s="1"/>
  <c r="BM27" i="28"/>
  <c r="BO26" i="28"/>
  <c r="DF24" i="20"/>
  <c r="DG24" i="20" s="1"/>
  <c r="DM24" i="20" s="1"/>
  <c r="DE24" i="20"/>
  <c r="DN24" i="20" s="1"/>
  <c r="CG25" i="28"/>
  <c r="BG28" i="20"/>
  <c r="BF29" i="20"/>
  <c r="BV32" i="20"/>
  <c r="EG24" i="20"/>
  <c r="FA139" i="28"/>
  <c r="CF25" i="28"/>
  <c r="BN30" i="20"/>
  <c r="FR25" i="28"/>
  <c r="BU28" i="20"/>
  <c r="BW27" i="20"/>
  <c r="CH25" i="28"/>
  <c r="BK30" i="20"/>
  <c r="BJ31" i="20"/>
  <c r="BY25" i="28"/>
  <c r="HZ26" i="20"/>
  <c r="HX26" i="20" s="1"/>
  <c r="HK26" i="20"/>
  <c r="HI26" i="20" s="1"/>
  <c r="JN26" i="20" s="1"/>
  <c r="JO26" i="20" s="1"/>
  <c r="GV26" i="20"/>
  <c r="GT26" i="20" s="1"/>
  <c r="CD26" i="20"/>
  <c r="CC26" i="20"/>
  <c r="CE26" i="20"/>
  <c r="CW26" i="20"/>
  <c r="DR26" i="20" s="1"/>
  <c r="EJ26" i="20" s="1"/>
  <c r="GV26" i="28"/>
  <c r="CE26" i="28"/>
  <c r="BS32" i="20"/>
  <c r="BR33" i="20"/>
  <c r="BB33" i="20"/>
  <c r="FC25" i="28"/>
  <c r="BA28" i="20"/>
  <c r="BC27" i="20"/>
  <c r="DD25" i="20"/>
  <c r="DC25" i="20"/>
  <c r="DO25" i="20" s="1"/>
  <c r="EG25" i="20" s="1"/>
  <c r="BI28" i="28"/>
  <c r="BK27" i="28"/>
  <c r="BQ28" i="28"/>
  <c r="BS27" i="28"/>
  <c r="EH25" i="20"/>
  <c r="EI25" i="20"/>
  <c r="HK28" i="35" l="1"/>
  <c r="JS24" i="35"/>
  <c r="JT24" i="35" s="1"/>
  <c r="BY28" i="35"/>
  <c r="FR28" i="35"/>
  <c r="BQ31" i="35"/>
  <c r="BS30" i="35"/>
  <c r="CC29" i="35"/>
  <c r="HZ29" i="35"/>
  <c r="CE28" i="35"/>
  <c r="BB31" i="35"/>
  <c r="BC30" i="35"/>
  <c r="GG28" i="35"/>
  <c r="BF33" i="35"/>
  <c r="BE30" i="35"/>
  <c r="BG29" i="35"/>
  <c r="CF29" i="35" s="1"/>
  <c r="BN31" i="35"/>
  <c r="BO30" i="35"/>
  <c r="GV28" i="35"/>
  <c r="CH28" i="35"/>
  <c r="CD28" i="35"/>
  <c r="BV31" i="35"/>
  <c r="BW30" i="35"/>
  <c r="FC28" i="35"/>
  <c r="CF28" i="35"/>
  <c r="BJ33" i="35"/>
  <c r="BK32" i="35"/>
  <c r="JP26" i="20"/>
  <c r="JQ26" i="20" s="1"/>
  <c r="FI148" i="20"/>
  <c r="FH147" i="20"/>
  <c r="FF144" i="20"/>
  <c r="FH146" i="20"/>
  <c r="FG143" i="35"/>
  <c r="FH145" i="20"/>
  <c r="FJ149" i="20"/>
  <c r="FD143" i="20"/>
  <c r="FG145" i="20"/>
  <c r="FE143" i="20"/>
  <c r="JL26" i="20"/>
  <c r="JM26" i="20" s="1"/>
  <c r="FJ147" i="35"/>
  <c r="FJ146" i="35"/>
  <c r="FI145" i="35"/>
  <c r="FD149" i="35"/>
  <c r="FK148" i="35"/>
  <c r="BD29" i="20"/>
  <c r="GW28" i="20"/>
  <c r="HL28" i="20"/>
  <c r="FD28" i="20"/>
  <c r="FS28" i="20"/>
  <c r="GH28" i="20"/>
  <c r="BX28" i="20"/>
  <c r="CO36" i="20"/>
  <c r="DZ36" i="20"/>
  <c r="ER36" i="20" s="1"/>
  <c r="DV32" i="20"/>
  <c r="EN32" i="20" s="1"/>
  <c r="CS32" i="20"/>
  <c r="DY35" i="20"/>
  <c r="EQ35" i="20" s="1"/>
  <c r="CP35" i="20"/>
  <c r="EO32" i="20"/>
  <c r="FI33" i="20"/>
  <c r="IU33" i="20"/>
  <c r="HB33" i="20"/>
  <c r="GM33" i="20"/>
  <c r="HQ33" i="20"/>
  <c r="FX33" i="20"/>
  <c r="IF33" i="20"/>
  <c r="HC34" i="20"/>
  <c r="IG34" i="20"/>
  <c r="FJ34" i="20"/>
  <c r="GN34" i="20"/>
  <c r="IV34" i="20"/>
  <c r="FY34" i="20"/>
  <c r="HR34" i="20"/>
  <c r="IH35" i="20"/>
  <c r="FZ35" i="20"/>
  <c r="FK35" i="20"/>
  <c r="IW35" i="20"/>
  <c r="GO35" i="20"/>
  <c r="HS35" i="20"/>
  <c r="HD35" i="20"/>
  <c r="FV31" i="20"/>
  <c r="FG31" i="20"/>
  <c r="IS31" i="20"/>
  <c r="GK31" i="20"/>
  <c r="HO31" i="20"/>
  <c r="GZ31" i="20"/>
  <c r="ID31" i="20"/>
  <c r="DY33" i="35"/>
  <c r="EQ33" i="35" s="1"/>
  <c r="CP33" i="35"/>
  <c r="DW33" i="20"/>
  <c r="EO33" i="20" s="1"/>
  <c r="CR33" i="20"/>
  <c r="GO34" i="20"/>
  <c r="IH34" i="20"/>
  <c r="HS34" i="20"/>
  <c r="FZ34" i="20"/>
  <c r="FK34" i="20"/>
  <c r="HD34" i="20"/>
  <c r="IW34" i="20"/>
  <c r="HC32" i="35"/>
  <c r="HR32" i="35"/>
  <c r="FY32" i="35"/>
  <c r="IG32" i="35"/>
  <c r="FJ32" i="35"/>
  <c r="IV32" i="35"/>
  <c r="GN32" i="35"/>
  <c r="DU31" i="20"/>
  <c r="CT31" i="20"/>
  <c r="ER33" i="35"/>
  <c r="DX32" i="35"/>
  <c r="EP32" i="35" s="1"/>
  <c r="CQ32" i="35"/>
  <c r="DZ34" i="35"/>
  <c r="ER34" i="35" s="1"/>
  <c r="CO34" i="35"/>
  <c r="DX34" i="20"/>
  <c r="CQ34" i="20"/>
  <c r="CR31" i="35"/>
  <c r="DW31" i="35"/>
  <c r="EO31" i="35" s="1"/>
  <c r="CN37" i="20"/>
  <c r="AP38" i="20"/>
  <c r="CB37" i="20"/>
  <c r="AP36" i="35"/>
  <c r="CN35" i="35"/>
  <c r="CB35" i="35"/>
  <c r="EP31" i="35"/>
  <c r="EC19" i="35"/>
  <c r="FC141" i="20"/>
  <c r="JJ24" i="20"/>
  <c r="JK24" i="20" s="1"/>
  <c r="JA24" i="20" s="1"/>
  <c r="BY26" i="20"/>
  <c r="CH26" i="20"/>
  <c r="FC26" i="20"/>
  <c r="FA26" i="20" s="1"/>
  <c r="JF26" i="20" s="1"/>
  <c r="JG26" i="20" s="1"/>
  <c r="GG26" i="20"/>
  <c r="GE26" i="20" s="1"/>
  <c r="FR26" i="20"/>
  <c r="FP26" i="20" s="1"/>
  <c r="CF26" i="20"/>
  <c r="BU33" i="35"/>
  <c r="FF142" i="35"/>
  <c r="FH143" i="35"/>
  <c r="EE20" i="35"/>
  <c r="FJ145" i="35"/>
  <c r="GK28" i="35"/>
  <c r="GZ28" i="35"/>
  <c r="ID28" i="35"/>
  <c r="IS28" i="35"/>
  <c r="FV28" i="35"/>
  <c r="HO28" i="35"/>
  <c r="FG28" i="35"/>
  <c r="GX26" i="35"/>
  <c r="GT26" i="35" s="1"/>
  <c r="IB26" i="35"/>
  <c r="HX26" i="35" s="1"/>
  <c r="GI26" i="35"/>
  <c r="GE26" i="35" s="1"/>
  <c r="IQ26" i="35"/>
  <c r="IM26" i="35" s="1"/>
  <c r="FE26" i="35"/>
  <c r="FA26" i="35" s="1"/>
  <c r="HM26" i="35"/>
  <c r="HI26" i="35" s="1"/>
  <c r="FT26" i="35"/>
  <c r="HP28" i="35"/>
  <c r="IT28" i="35"/>
  <c r="HA28" i="35"/>
  <c r="IE28" i="35"/>
  <c r="FH28" i="35"/>
  <c r="GL28" i="35"/>
  <c r="FW28" i="35"/>
  <c r="CY24" i="35"/>
  <c r="DQ24" i="35" s="1"/>
  <c r="EI24" i="35" s="1"/>
  <c r="CZ24" i="35"/>
  <c r="IB25" i="35"/>
  <c r="HX25" i="35" s="1"/>
  <c r="JQ25" i="35" s="1"/>
  <c r="JR25" i="35" s="1"/>
  <c r="GI25" i="35"/>
  <c r="GE25" i="35" s="1"/>
  <c r="JK25" i="35" s="1"/>
  <c r="JL25" i="35" s="1"/>
  <c r="HM25" i="35"/>
  <c r="HI25" i="35" s="1"/>
  <c r="JO25" i="35" s="1"/>
  <c r="JP25" i="35" s="1"/>
  <c r="IQ25" i="35"/>
  <c r="IM25" i="35" s="1"/>
  <c r="GX25" i="35"/>
  <c r="GT25" i="35" s="1"/>
  <c r="JM25" i="35" s="1"/>
  <c r="JN25" i="35" s="1"/>
  <c r="FE25" i="35"/>
  <c r="FA25" i="35" s="1"/>
  <c r="JG25" i="35" s="1"/>
  <c r="JH25" i="35" s="1"/>
  <c r="FT25" i="35"/>
  <c r="CX25" i="35"/>
  <c r="CW25" i="35"/>
  <c r="DR25" i="35" s="1"/>
  <c r="EJ25" i="35" s="1"/>
  <c r="FA140" i="35"/>
  <c r="D63" i="34" s="1"/>
  <c r="JI24" i="35"/>
  <c r="JJ24" i="35" s="1"/>
  <c r="JA24" i="35" s="1"/>
  <c r="CT28" i="35"/>
  <c r="DU28" i="35"/>
  <c r="EM28" i="35" s="1"/>
  <c r="GM30" i="35"/>
  <c r="HB30" i="35"/>
  <c r="HQ30" i="35"/>
  <c r="IF30" i="35"/>
  <c r="IU30" i="35"/>
  <c r="FI30" i="35"/>
  <c r="FX30" i="35"/>
  <c r="DW30" i="35"/>
  <c r="EO30" i="35" s="1"/>
  <c r="CR30" i="35"/>
  <c r="GY27" i="35"/>
  <c r="FU27" i="35"/>
  <c r="GJ27" i="35"/>
  <c r="IR27" i="35"/>
  <c r="IC27" i="35"/>
  <c r="HN27" i="35"/>
  <c r="FF27" i="35"/>
  <c r="DT27" i="35"/>
  <c r="EL27" i="35" s="1"/>
  <c r="CU27" i="35"/>
  <c r="DC22" i="35"/>
  <c r="DO22" i="35" s="1"/>
  <c r="DD22" i="35"/>
  <c r="CS29" i="35"/>
  <c r="DV29" i="35"/>
  <c r="EN29" i="35" s="1"/>
  <c r="HA29" i="35"/>
  <c r="IE29" i="35"/>
  <c r="GL29" i="35"/>
  <c r="HP29" i="35"/>
  <c r="IT29" i="35"/>
  <c r="FH29" i="35"/>
  <c r="FW29" i="35"/>
  <c r="DF21" i="35"/>
  <c r="DG21" i="35" s="1"/>
  <c r="DM21" i="35" s="1"/>
  <c r="DE21" i="35"/>
  <c r="DN21" i="35" s="1"/>
  <c r="DB23" i="35"/>
  <c r="DA23" i="35"/>
  <c r="DP23" i="35" s="1"/>
  <c r="EH23" i="35" s="1"/>
  <c r="EF20" i="35"/>
  <c r="DS26" i="35"/>
  <c r="EK26" i="35" s="1"/>
  <c r="CV26" i="35"/>
  <c r="JL23" i="28"/>
  <c r="JM23" i="28" s="1"/>
  <c r="JB23" i="28" s="1"/>
  <c r="FA140" i="28"/>
  <c r="FD151" i="28"/>
  <c r="FD154" i="28"/>
  <c r="FD152" i="28"/>
  <c r="FD153" i="28"/>
  <c r="CN36" i="28"/>
  <c r="AP37" i="28"/>
  <c r="CB36" i="28"/>
  <c r="FD156" i="28"/>
  <c r="FD155" i="28"/>
  <c r="JH24" i="28"/>
  <c r="JI24" i="28" s="1"/>
  <c r="JJ24" i="28"/>
  <c r="JK24" i="28" s="1"/>
  <c r="BM28" i="20"/>
  <c r="BO27" i="20"/>
  <c r="BY27" i="20" s="1"/>
  <c r="IA34" i="35"/>
  <c r="GH34" i="35"/>
  <c r="HL34" i="35"/>
  <c r="GW34" i="35"/>
  <c r="AZ35" i="35"/>
  <c r="FD34" i="35"/>
  <c r="FS34" i="35"/>
  <c r="BX34" i="35"/>
  <c r="FI144" i="28"/>
  <c r="JR25" i="28"/>
  <c r="JS25" i="28" s="1"/>
  <c r="AM9" i="28"/>
  <c r="X9" i="28"/>
  <c r="FD150" i="28"/>
  <c r="JP25" i="28"/>
  <c r="JQ25" i="28" s="1"/>
  <c r="FJ146" i="28"/>
  <c r="CY27" i="20"/>
  <c r="DQ27" i="20" s="1"/>
  <c r="HD33" i="28"/>
  <c r="HS33" i="28"/>
  <c r="FZ33" i="28"/>
  <c r="GO33" i="28"/>
  <c r="IW33" i="28"/>
  <c r="FK33" i="28"/>
  <c r="IH33" i="28"/>
  <c r="DY33" i="28"/>
  <c r="EQ33" i="28" s="1"/>
  <c r="CP33" i="28"/>
  <c r="CN35" i="28"/>
  <c r="CB35" i="28"/>
  <c r="DZ34" i="28"/>
  <c r="ER34" i="28" s="1"/>
  <c r="CO34" i="28"/>
  <c r="EM29" i="20"/>
  <c r="DT29" i="20"/>
  <c r="EL29" i="20" s="1"/>
  <c r="CU29" i="20"/>
  <c r="DS28" i="20"/>
  <c r="EK28" i="20" s="1"/>
  <c r="CV28" i="20"/>
  <c r="CX28" i="20" s="1"/>
  <c r="CZ28" i="20" s="1"/>
  <c r="DB28" i="20" s="1"/>
  <c r="DD28" i="20" s="1"/>
  <c r="DF28" i="20" s="1"/>
  <c r="HM28" i="20"/>
  <c r="GI28" i="20"/>
  <c r="IQ28" i="20"/>
  <c r="IM28" i="20" s="1"/>
  <c r="GX28" i="20"/>
  <c r="FE28" i="20"/>
  <c r="FT28" i="20"/>
  <c r="IB28" i="20"/>
  <c r="CT30" i="20"/>
  <c r="DU30" i="20"/>
  <c r="EM30" i="20" s="1"/>
  <c r="EN30" i="20"/>
  <c r="IZ27" i="20"/>
  <c r="JN25" i="28"/>
  <c r="JO25" i="28" s="1"/>
  <c r="FK147" i="28"/>
  <c r="FH144" i="28"/>
  <c r="FI145" i="28"/>
  <c r="EC19" i="28"/>
  <c r="FG143" i="28"/>
  <c r="FF142" i="28"/>
  <c r="FE141" i="28"/>
  <c r="FA25" i="28"/>
  <c r="JT24" i="28"/>
  <c r="JU24" i="28" s="1"/>
  <c r="GK28" i="28"/>
  <c r="FG28" i="28"/>
  <c r="ID28" i="28"/>
  <c r="IS28" i="28"/>
  <c r="HO28" i="28"/>
  <c r="GZ28" i="28"/>
  <c r="FV28" i="28"/>
  <c r="GM30" i="28"/>
  <c r="IF30" i="28"/>
  <c r="FX30" i="28"/>
  <c r="HB30" i="28"/>
  <c r="HQ30" i="28"/>
  <c r="FI30" i="28"/>
  <c r="IU30" i="28"/>
  <c r="CS29" i="28"/>
  <c r="DV29" i="28"/>
  <c r="EN29" i="28" s="1"/>
  <c r="CR30" i="28"/>
  <c r="DW30" i="28"/>
  <c r="EO30" i="28" s="1"/>
  <c r="HP29" i="28"/>
  <c r="IT29" i="28"/>
  <c r="IE29" i="28"/>
  <c r="HA29" i="28"/>
  <c r="FW29" i="28"/>
  <c r="FH29" i="28"/>
  <c r="GL29" i="28"/>
  <c r="CQ31" i="28"/>
  <c r="DX31" i="28"/>
  <c r="EM27" i="28"/>
  <c r="JS25" i="20"/>
  <c r="JR26" i="20"/>
  <c r="DT27" i="28"/>
  <c r="EL27" i="28" s="1"/>
  <c r="CU27" i="28"/>
  <c r="CZ24" i="28"/>
  <c r="CY24" i="28"/>
  <c r="DQ24" i="28" s="1"/>
  <c r="JA25" i="28"/>
  <c r="DS26" i="28"/>
  <c r="EK26" i="28" s="1"/>
  <c r="CV26" i="28"/>
  <c r="CP32" i="28"/>
  <c r="DY32" i="28"/>
  <c r="EQ32" i="28" s="1"/>
  <c r="DC22" i="28"/>
  <c r="DO22" i="28" s="1"/>
  <c r="DD22" i="28"/>
  <c r="DA23" i="28"/>
  <c r="DP23" i="28" s="1"/>
  <c r="EH23" i="28" s="1"/>
  <c r="DB23" i="28"/>
  <c r="CX25" i="28"/>
  <c r="CW25" i="28"/>
  <c r="DR25" i="28" s="1"/>
  <c r="FE26" i="28"/>
  <c r="IQ26" i="28"/>
  <c r="IM26" i="28" s="1"/>
  <c r="FT26" i="28"/>
  <c r="IB26" i="28"/>
  <c r="HX26" i="28" s="1"/>
  <c r="GI26" i="28"/>
  <c r="GX26" i="28"/>
  <c r="GT26" i="28" s="1"/>
  <c r="HM26" i="28"/>
  <c r="HI26" i="28" s="1"/>
  <c r="IH32" i="28"/>
  <c r="HS32" i="28"/>
  <c r="FZ32" i="28"/>
  <c r="HD32" i="28"/>
  <c r="IW32" i="28"/>
  <c r="GO32" i="28"/>
  <c r="FK32" i="28"/>
  <c r="DF21" i="28"/>
  <c r="DG21" i="28" s="1"/>
  <c r="DM21" i="28" s="1"/>
  <c r="DE21" i="28"/>
  <c r="DN21" i="28" s="1"/>
  <c r="IG31" i="28"/>
  <c r="GN31" i="28"/>
  <c r="HR31" i="28"/>
  <c r="HC31" i="28"/>
  <c r="FJ31" i="28"/>
  <c r="IV31" i="28"/>
  <c r="FY31" i="28"/>
  <c r="FP25" i="28"/>
  <c r="CT28" i="28"/>
  <c r="DU28" i="28"/>
  <c r="EM28" i="28" s="1"/>
  <c r="EE20" i="28"/>
  <c r="EC20" i="28" s="1"/>
  <c r="EG21" i="28"/>
  <c r="BV31" i="28"/>
  <c r="BW30" i="28"/>
  <c r="BF31" i="28"/>
  <c r="BG30" i="28"/>
  <c r="JH25" i="20"/>
  <c r="JI25" i="20" s="1"/>
  <c r="FC141" i="28"/>
  <c r="EE24" i="20"/>
  <c r="FC26" i="28"/>
  <c r="CH26" i="28"/>
  <c r="FR26" i="28"/>
  <c r="GG26" i="28"/>
  <c r="CG26" i="28"/>
  <c r="CF26" i="28"/>
  <c r="BY26" i="28"/>
  <c r="HZ27" i="28"/>
  <c r="HK27" i="28"/>
  <c r="CD27" i="28"/>
  <c r="CC27" i="28"/>
  <c r="BA29" i="28"/>
  <c r="BC28" i="28"/>
  <c r="EC23" i="20"/>
  <c r="FA141" i="20"/>
  <c r="EH26" i="20"/>
  <c r="BB34" i="20"/>
  <c r="BB35" i="20" s="1"/>
  <c r="BB36" i="20" s="1"/>
  <c r="BB37" i="20" s="1"/>
  <c r="BB38" i="20" s="1"/>
  <c r="BB39" i="20" s="1"/>
  <c r="BB40" i="20" s="1"/>
  <c r="DA27" i="20"/>
  <c r="DP27" i="20" s="1"/>
  <c r="DB27" i="20"/>
  <c r="DC26" i="20"/>
  <c r="DO26" i="20" s="1"/>
  <c r="EG26" i="20" s="1"/>
  <c r="DD26" i="20"/>
  <c r="GV27" i="28"/>
  <c r="CE27" i="28"/>
  <c r="BK31" i="20"/>
  <c r="BJ32" i="20"/>
  <c r="EI26" i="20"/>
  <c r="BQ29" i="28"/>
  <c r="BS28" i="28"/>
  <c r="BI29" i="28"/>
  <c r="BK28" i="28"/>
  <c r="DF25" i="20"/>
  <c r="DG25" i="20" s="1"/>
  <c r="DM25" i="20" s="1"/>
  <c r="DE25" i="20"/>
  <c r="DN25" i="20" s="1"/>
  <c r="BU29" i="20"/>
  <c r="BW28" i="20"/>
  <c r="EF24" i="20"/>
  <c r="HZ27" i="20"/>
  <c r="HX27" i="20" s="1"/>
  <c r="GV27" i="20"/>
  <c r="GT27" i="20" s="1"/>
  <c r="HK27" i="20"/>
  <c r="HI27" i="20" s="1"/>
  <c r="JN27" i="20" s="1"/>
  <c r="JO27" i="20" s="1"/>
  <c r="CD27" i="20"/>
  <c r="CE27" i="20"/>
  <c r="CC27" i="20"/>
  <c r="CW27" i="20"/>
  <c r="DR27" i="20" s="1"/>
  <c r="BG29" i="20"/>
  <c r="BF30" i="20"/>
  <c r="BA29" i="20"/>
  <c r="BC28" i="20"/>
  <c r="BS33" i="20"/>
  <c r="BR34" i="20"/>
  <c r="BN31" i="20"/>
  <c r="BV33" i="20"/>
  <c r="BM28" i="28"/>
  <c r="BO27" i="28"/>
  <c r="BY27" i="28" s="1"/>
  <c r="JP27" i="20" l="1"/>
  <c r="JQ27" i="20" s="1"/>
  <c r="FK150" i="20"/>
  <c r="FC144" i="35"/>
  <c r="CD29" i="35"/>
  <c r="BQ32" i="35"/>
  <c r="BS31" i="35"/>
  <c r="BJ34" i="35"/>
  <c r="BK33" i="35"/>
  <c r="BB32" i="35"/>
  <c r="BC31" i="35"/>
  <c r="BN32" i="35"/>
  <c r="BO31" i="35"/>
  <c r="HK29" i="35"/>
  <c r="CC30" i="35"/>
  <c r="HZ30" i="35"/>
  <c r="FC29" i="35"/>
  <c r="BE31" i="35"/>
  <c r="BG30" i="35"/>
  <c r="CE30" i="35" s="1"/>
  <c r="FR29" i="35"/>
  <c r="GG29" i="35"/>
  <c r="BV32" i="35"/>
  <c r="BW31" i="35"/>
  <c r="BF34" i="35"/>
  <c r="CH29" i="35"/>
  <c r="CE29" i="35"/>
  <c r="CG29" i="35"/>
  <c r="GV29" i="35"/>
  <c r="BY29" i="35"/>
  <c r="FD144" i="20"/>
  <c r="JL27" i="20"/>
  <c r="JM27" i="20" s="1"/>
  <c r="FH145" i="35"/>
  <c r="FG147" i="20"/>
  <c r="FK151" i="20"/>
  <c r="FJ150" i="20"/>
  <c r="FI149" i="20"/>
  <c r="FJ148" i="35"/>
  <c r="FE144" i="20"/>
  <c r="FH144" i="35"/>
  <c r="FG144" i="35"/>
  <c r="JJ25" i="20"/>
  <c r="JK25" i="20" s="1"/>
  <c r="JA25" i="20" s="1"/>
  <c r="FI146" i="35"/>
  <c r="FD150" i="35"/>
  <c r="BD30" i="20"/>
  <c r="BX29" i="20"/>
  <c r="FS29" i="20"/>
  <c r="GW29" i="20"/>
  <c r="FD29" i="20"/>
  <c r="HL29" i="20"/>
  <c r="GH29" i="20"/>
  <c r="IG33" i="35"/>
  <c r="HR33" i="35"/>
  <c r="GN33" i="35"/>
  <c r="HC33" i="35"/>
  <c r="IV33" i="35"/>
  <c r="FY33" i="35"/>
  <c r="FJ33" i="35"/>
  <c r="FV32" i="20"/>
  <c r="FG32" i="20"/>
  <c r="HO32" i="20"/>
  <c r="ID32" i="20"/>
  <c r="GZ32" i="20"/>
  <c r="GK32" i="20"/>
  <c r="IS32" i="20"/>
  <c r="HA31" i="35"/>
  <c r="FW31" i="35"/>
  <c r="IE31" i="35"/>
  <c r="GL31" i="35"/>
  <c r="HP31" i="35"/>
  <c r="IT31" i="35"/>
  <c r="FH31" i="35"/>
  <c r="DW32" i="35"/>
  <c r="CR32" i="35"/>
  <c r="HQ31" i="35"/>
  <c r="FI31" i="35"/>
  <c r="HB31" i="35"/>
  <c r="FX31" i="35"/>
  <c r="IF31" i="35"/>
  <c r="GM31" i="35"/>
  <c r="IU31" i="35"/>
  <c r="DZ37" i="20"/>
  <c r="ER37" i="20" s="1"/>
  <c r="CO37" i="20"/>
  <c r="FX32" i="35"/>
  <c r="FI32" i="35"/>
  <c r="IU32" i="35"/>
  <c r="GM32" i="35"/>
  <c r="HB32" i="35"/>
  <c r="IF32" i="35"/>
  <c r="HQ32" i="35"/>
  <c r="CQ35" i="20"/>
  <c r="DX35" i="20"/>
  <c r="EP35" i="20" s="1"/>
  <c r="CN38" i="20"/>
  <c r="AP39" i="20"/>
  <c r="CB38" i="20"/>
  <c r="FY35" i="20"/>
  <c r="IV35" i="20"/>
  <c r="GN35" i="20"/>
  <c r="FJ35" i="20"/>
  <c r="IG35" i="20"/>
  <c r="HR35" i="20"/>
  <c r="HC35" i="20"/>
  <c r="CQ33" i="35"/>
  <c r="DX33" i="35"/>
  <c r="EP33" i="35" s="1"/>
  <c r="CS31" i="35"/>
  <c r="DV31" i="35"/>
  <c r="EN31" i="35" s="1"/>
  <c r="CO35" i="35"/>
  <c r="DZ35" i="35"/>
  <c r="CR34" i="20"/>
  <c r="DW34" i="20"/>
  <c r="EO34" i="20" s="1"/>
  <c r="IH33" i="35"/>
  <c r="GO33" i="35"/>
  <c r="IW33" i="35"/>
  <c r="FK33" i="35"/>
  <c r="FZ33" i="35"/>
  <c r="HS33" i="35"/>
  <c r="HD33" i="35"/>
  <c r="DU32" i="20"/>
  <c r="CT32" i="20"/>
  <c r="HA32" i="20"/>
  <c r="IT32" i="20"/>
  <c r="FH32" i="20"/>
  <c r="HP32" i="20"/>
  <c r="GL32" i="20"/>
  <c r="IE32" i="20"/>
  <c r="FW32" i="20"/>
  <c r="AP37" i="35"/>
  <c r="CN36" i="35"/>
  <c r="CB36" i="35"/>
  <c r="EP34" i="20"/>
  <c r="DT31" i="20"/>
  <c r="EL31" i="20" s="1"/>
  <c r="CU31" i="20"/>
  <c r="CP34" i="35"/>
  <c r="DY34" i="35"/>
  <c r="EQ34" i="35" s="1"/>
  <c r="EM31" i="20"/>
  <c r="DV33" i="20"/>
  <c r="EN33" i="20" s="1"/>
  <c r="CS33" i="20"/>
  <c r="IH36" i="20"/>
  <c r="IW36" i="20"/>
  <c r="HS36" i="20"/>
  <c r="FK36" i="20"/>
  <c r="HD36" i="20"/>
  <c r="FZ36" i="20"/>
  <c r="GO36" i="20"/>
  <c r="HS34" i="35"/>
  <c r="IW34" i="35"/>
  <c r="FK34" i="35"/>
  <c r="IH34" i="35"/>
  <c r="FZ34" i="35"/>
  <c r="GO34" i="35"/>
  <c r="HD34" i="35"/>
  <c r="HA33" i="20"/>
  <c r="FH33" i="20"/>
  <c r="GL33" i="20"/>
  <c r="IE33" i="20"/>
  <c r="HP33" i="20"/>
  <c r="IT33" i="20"/>
  <c r="FW33" i="20"/>
  <c r="CP36" i="20"/>
  <c r="DY36" i="20"/>
  <c r="EQ36" i="20" s="1"/>
  <c r="CH27" i="20"/>
  <c r="EC20" i="35"/>
  <c r="FC142" i="20"/>
  <c r="BU34" i="35"/>
  <c r="FF143" i="35"/>
  <c r="JO26" i="35"/>
  <c r="JP26" i="35" s="1"/>
  <c r="EG22" i="35"/>
  <c r="JM26" i="35"/>
  <c r="JN26" i="35" s="1"/>
  <c r="DS27" i="35"/>
  <c r="EK27" i="35" s="1"/>
  <c r="CV27" i="35"/>
  <c r="CZ25" i="35"/>
  <c r="CY25" i="35"/>
  <c r="DQ25" i="35" s="1"/>
  <c r="DA24" i="35"/>
  <c r="DP24" i="35" s="1"/>
  <c r="EH24" i="35" s="1"/>
  <c r="DB24" i="35"/>
  <c r="IQ27" i="35"/>
  <c r="IM27" i="35" s="1"/>
  <c r="GX27" i="35"/>
  <c r="GT27" i="35" s="1"/>
  <c r="JM27" i="35" s="1"/>
  <c r="JN27" i="35" s="1"/>
  <c r="FE27" i="35"/>
  <c r="FA27" i="35" s="1"/>
  <c r="GI27" i="35"/>
  <c r="GE27" i="35" s="1"/>
  <c r="FT27" i="35"/>
  <c r="HM27" i="35"/>
  <c r="HI27" i="35" s="1"/>
  <c r="IB27" i="35"/>
  <c r="HX27" i="35" s="1"/>
  <c r="DV30" i="35"/>
  <c r="EN30" i="35" s="1"/>
  <c r="CS30" i="35"/>
  <c r="FE141" i="35"/>
  <c r="FP25" i="35"/>
  <c r="FE142" i="35"/>
  <c r="FP26" i="35"/>
  <c r="DD23" i="35"/>
  <c r="DC23" i="35"/>
  <c r="DO23" i="35" s="1"/>
  <c r="IT30" i="35"/>
  <c r="HA30" i="35"/>
  <c r="IE30" i="35"/>
  <c r="FH30" i="35"/>
  <c r="FW30" i="35"/>
  <c r="GL30" i="35"/>
  <c r="HP30" i="35"/>
  <c r="EF21" i="35"/>
  <c r="EE21" i="35"/>
  <c r="FU28" i="35"/>
  <c r="FF28" i="35"/>
  <c r="IC28" i="35"/>
  <c r="GJ28" i="35"/>
  <c r="HN28" i="35"/>
  <c r="GY28" i="35"/>
  <c r="IR28" i="35"/>
  <c r="JG26" i="35"/>
  <c r="JH26" i="35" s="1"/>
  <c r="GK29" i="35"/>
  <c r="ID29" i="35"/>
  <c r="IS29" i="35"/>
  <c r="FG29" i="35"/>
  <c r="FV29" i="35"/>
  <c r="HO29" i="35"/>
  <c r="GZ29" i="35"/>
  <c r="CU28" i="35"/>
  <c r="DT28" i="35"/>
  <c r="EL28" i="35" s="1"/>
  <c r="IZ25" i="35"/>
  <c r="IZ26" i="35" s="1"/>
  <c r="JS25" i="35"/>
  <c r="JT25" i="35" s="1"/>
  <c r="DU29" i="35"/>
  <c r="CT29" i="35"/>
  <c r="JK26" i="35"/>
  <c r="JL26" i="35" s="1"/>
  <c r="CX26" i="35"/>
  <c r="CW26" i="35"/>
  <c r="DR26" i="35" s="1"/>
  <c r="EJ26" i="35" s="1"/>
  <c r="DE22" i="35"/>
  <c r="DN22" i="35" s="1"/>
  <c r="DF22" i="35"/>
  <c r="DG22" i="35" s="1"/>
  <c r="DM22" i="35" s="1"/>
  <c r="JQ26" i="35"/>
  <c r="JR26" i="35" s="1"/>
  <c r="JL24" i="28"/>
  <c r="JM24" i="28" s="1"/>
  <c r="JB24" i="28" s="1"/>
  <c r="CF27" i="20"/>
  <c r="GG27" i="20"/>
  <c r="GE27" i="20" s="1"/>
  <c r="FC27" i="20"/>
  <c r="FA27" i="20" s="1"/>
  <c r="JF27" i="20" s="1"/>
  <c r="JG27" i="20" s="1"/>
  <c r="FR27" i="20"/>
  <c r="FP27" i="20" s="1"/>
  <c r="CG27" i="20"/>
  <c r="JH25" i="28"/>
  <c r="JI25" i="28" s="1"/>
  <c r="FK149" i="28"/>
  <c r="CN37" i="28"/>
  <c r="AP38" i="28"/>
  <c r="CB37" i="28"/>
  <c r="DZ36" i="28"/>
  <c r="ER36" i="28" s="1"/>
  <c r="CO36" i="28"/>
  <c r="JJ25" i="28"/>
  <c r="JK25" i="28" s="1"/>
  <c r="JR26" i="28"/>
  <c r="JS26" i="28" s="1"/>
  <c r="GH35" i="35"/>
  <c r="HL35" i="35"/>
  <c r="IA35" i="35"/>
  <c r="GW35" i="35"/>
  <c r="BM29" i="20"/>
  <c r="BO28" i="20"/>
  <c r="CF28" i="20" s="1"/>
  <c r="FS35" i="35"/>
  <c r="FD35" i="35"/>
  <c r="AZ36" i="35"/>
  <c r="BX35" i="35"/>
  <c r="JP26" i="28"/>
  <c r="JQ26" i="28" s="1"/>
  <c r="JN26" i="28"/>
  <c r="JO26" i="28" s="1"/>
  <c r="BS34" i="20"/>
  <c r="BR35" i="20"/>
  <c r="FA141" i="28"/>
  <c r="IZ28" i="20"/>
  <c r="CP34" i="28"/>
  <c r="DY34" i="28"/>
  <c r="EQ34" i="28" s="1"/>
  <c r="FZ34" i="28"/>
  <c r="GO34" i="28"/>
  <c r="HS34" i="28"/>
  <c r="IH34" i="28"/>
  <c r="FK34" i="28"/>
  <c r="IW34" i="28"/>
  <c r="HD34" i="28"/>
  <c r="DZ35" i="28"/>
  <c r="ER35" i="28" s="1"/>
  <c r="CO35" i="28"/>
  <c r="DX33" i="28"/>
  <c r="EP33" i="28" s="1"/>
  <c r="CQ33" i="28"/>
  <c r="GN33" i="28"/>
  <c r="IV33" i="28"/>
  <c r="FJ33" i="28"/>
  <c r="HC33" i="28"/>
  <c r="FY33" i="28"/>
  <c r="HR33" i="28"/>
  <c r="IG33" i="28"/>
  <c r="IC30" i="20"/>
  <c r="FU30" i="20"/>
  <c r="FF30" i="20"/>
  <c r="GJ30" i="20"/>
  <c r="HN30" i="20"/>
  <c r="IR30" i="20"/>
  <c r="GY30" i="20"/>
  <c r="IQ29" i="20"/>
  <c r="FT29" i="20"/>
  <c r="IB29" i="20"/>
  <c r="HM29" i="20"/>
  <c r="GX29" i="20"/>
  <c r="GI29" i="20"/>
  <c r="FE29" i="20"/>
  <c r="DT30" i="20"/>
  <c r="EL30" i="20" s="1"/>
  <c r="CU30" i="20"/>
  <c r="GZ30" i="20"/>
  <c r="IS30" i="20"/>
  <c r="FG30" i="20"/>
  <c r="FV30" i="20"/>
  <c r="GK30" i="20"/>
  <c r="HO30" i="20"/>
  <c r="ID30" i="20"/>
  <c r="DS29" i="20"/>
  <c r="EK29" i="20" s="1"/>
  <c r="CV29" i="20"/>
  <c r="CX29" i="20" s="1"/>
  <c r="CZ29" i="20" s="1"/>
  <c r="DB29" i="20" s="1"/>
  <c r="DD29" i="20" s="1"/>
  <c r="DF29" i="20" s="1"/>
  <c r="IC29" i="20"/>
  <c r="FF29" i="20"/>
  <c r="GJ29" i="20"/>
  <c r="FU29" i="20"/>
  <c r="IR29" i="20"/>
  <c r="HN29" i="20"/>
  <c r="GY29" i="20"/>
  <c r="FJ147" i="28"/>
  <c r="FC142" i="28"/>
  <c r="FK148" i="28"/>
  <c r="FH145" i="28"/>
  <c r="FI146" i="28"/>
  <c r="JT25" i="28"/>
  <c r="JU25" i="28" s="1"/>
  <c r="FG144" i="28"/>
  <c r="FE142" i="28"/>
  <c r="FA26" i="28"/>
  <c r="FP26" i="28"/>
  <c r="IQ27" i="28"/>
  <c r="IB27" i="28"/>
  <c r="FT27" i="28"/>
  <c r="GI27" i="28"/>
  <c r="GX27" i="28"/>
  <c r="HM27" i="28"/>
  <c r="FE27" i="28"/>
  <c r="FG29" i="28"/>
  <c r="GZ29" i="28"/>
  <c r="HO29" i="28"/>
  <c r="IS29" i="28"/>
  <c r="ID29" i="28"/>
  <c r="FV29" i="28"/>
  <c r="GK29" i="28"/>
  <c r="DF22" i="28"/>
  <c r="DG22" i="28" s="1"/>
  <c r="DM22" i="28" s="1"/>
  <c r="DE22" i="28"/>
  <c r="DN22" i="28" s="1"/>
  <c r="EF22" i="28" s="1"/>
  <c r="FU27" i="28"/>
  <c r="GY27" i="28"/>
  <c r="GJ27" i="28"/>
  <c r="IR27" i="28"/>
  <c r="FF27" i="28"/>
  <c r="HN27" i="28"/>
  <c r="IC27" i="28"/>
  <c r="DU29" i="28"/>
  <c r="EM29" i="28" s="1"/>
  <c r="CT29" i="28"/>
  <c r="EG22" i="28"/>
  <c r="DT28" i="28"/>
  <c r="EL28" i="28" s="1"/>
  <c r="CU28" i="28"/>
  <c r="DB24" i="28"/>
  <c r="DA24" i="28"/>
  <c r="DP24" i="28" s="1"/>
  <c r="EH24" i="28" s="1"/>
  <c r="FY32" i="28"/>
  <c r="IV32" i="28"/>
  <c r="HR32" i="28"/>
  <c r="IG32" i="28"/>
  <c r="FJ32" i="28"/>
  <c r="HC32" i="28"/>
  <c r="GN32" i="28"/>
  <c r="DS27" i="28"/>
  <c r="EK27" i="28" s="1"/>
  <c r="CV27" i="28"/>
  <c r="CR31" i="28"/>
  <c r="DW31" i="28"/>
  <c r="EO31" i="28" s="1"/>
  <c r="EE21" i="28"/>
  <c r="EJ25" i="28"/>
  <c r="DX32" i="28"/>
  <c r="EP32" i="28" s="1"/>
  <c r="CQ32" i="28"/>
  <c r="HP30" i="28"/>
  <c r="GL30" i="28"/>
  <c r="HA30" i="28"/>
  <c r="IE30" i="28"/>
  <c r="FW30" i="28"/>
  <c r="IT30" i="28"/>
  <c r="FH30" i="28"/>
  <c r="IC28" i="28"/>
  <c r="GJ28" i="28"/>
  <c r="FF28" i="28"/>
  <c r="IR28" i="28"/>
  <c r="FU28" i="28"/>
  <c r="HN28" i="28"/>
  <c r="GY28" i="28"/>
  <c r="EI24" i="28"/>
  <c r="EP31" i="28"/>
  <c r="CZ25" i="28"/>
  <c r="CY25" i="28"/>
  <c r="DQ25" i="28" s="1"/>
  <c r="EI25" i="28" s="1"/>
  <c r="CX26" i="28"/>
  <c r="CW26" i="28"/>
  <c r="DR26" i="28" s="1"/>
  <c r="JS26" i="20"/>
  <c r="JR27" i="20"/>
  <c r="CS30" i="28"/>
  <c r="DV30" i="28"/>
  <c r="EN30" i="28" s="1"/>
  <c r="JA26" i="28"/>
  <c r="EF21" i="28"/>
  <c r="DD23" i="28"/>
  <c r="DC23" i="28"/>
  <c r="DO23" i="28" s="1"/>
  <c r="BG31" i="28"/>
  <c r="BF32" i="28"/>
  <c r="BW31" i="28"/>
  <c r="BV32" i="28"/>
  <c r="JH26" i="20"/>
  <c r="JI26" i="20" s="1"/>
  <c r="EC24" i="20"/>
  <c r="GE26" i="28"/>
  <c r="BA30" i="28"/>
  <c r="BC29" i="28"/>
  <c r="HK28" i="28"/>
  <c r="CC28" i="28"/>
  <c r="CD28" i="28"/>
  <c r="HZ28" i="28"/>
  <c r="CG27" i="28"/>
  <c r="CF27" i="28"/>
  <c r="EH27" i="20"/>
  <c r="BN32" i="20"/>
  <c r="BM29" i="28"/>
  <c r="BO28" i="28"/>
  <c r="CH28" i="28" s="1"/>
  <c r="CE28" i="28"/>
  <c r="GV28" i="28"/>
  <c r="CH27" i="28"/>
  <c r="FA142" i="20"/>
  <c r="BI30" i="28"/>
  <c r="BK29" i="28"/>
  <c r="BU30" i="20"/>
  <c r="BW29" i="20"/>
  <c r="BK32" i="20"/>
  <c r="BJ33" i="20"/>
  <c r="GG27" i="28"/>
  <c r="DF26" i="20"/>
  <c r="DG26" i="20" s="1"/>
  <c r="DM26" i="20" s="1"/>
  <c r="DE26" i="20"/>
  <c r="DN26" i="20" s="1"/>
  <c r="BG30" i="20"/>
  <c r="BF31" i="20"/>
  <c r="BQ30" i="28"/>
  <c r="BS29" i="28"/>
  <c r="FR27" i="28"/>
  <c r="FC27" i="28"/>
  <c r="BV34" i="20"/>
  <c r="BV35" i="20" s="1"/>
  <c r="BV36" i="20" s="1"/>
  <c r="BV37" i="20" s="1"/>
  <c r="BV38" i="20" s="1"/>
  <c r="BV39" i="20" s="1"/>
  <c r="BV40" i="20" s="1"/>
  <c r="EJ27" i="20"/>
  <c r="EI27" i="20"/>
  <c r="HZ28" i="20"/>
  <c r="HX28" i="20" s="1"/>
  <c r="HK28" i="20"/>
  <c r="HI28" i="20" s="1"/>
  <c r="JN28" i="20" s="1"/>
  <c r="JO28" i="20" s="1"/>
  <c r="GV28" i="20"/>
  <c r="GT28" i="20" s="1"/>
  <c r="CD28" i="20"/>
  <c r="CE28" i="20"/>
  <c r="CC28" i="20"/>
  <c r="CW28" i="20"/>
  <c r="DR28" i="20" s="1"/>
  <c r="EJ28" i="20" s="1"/>
  <c r="CY28" i="20"/>
  <c r="DQ28" i="20" s="1"/>
  <c r="DA28" i="20"/>
  <c r="DP28" i="20" s="1"/>
  <c r="BA30" i="20"/>
  <c r="BC29" i="20"/>
  <c r="EF25" i="20"/>
  <c r="EE25" i="20"/>
  <c r="DC27" i="20"/>
  <c r="DO27" i="20" s="1"/>
  <c r="EG27" i="20" s="1"/>
  <c r="DD27" i="20"/>
  <c r="JP28" i="20" l="1"/>
  <c r="JQ28" i="20" s="1"/>
  <c r="CH30" i="35"/>
  <c r="CF30" i="35"/>
  <c r="JL28" i="20"/>
  <c r="JM28" i="20" s="1"/>
  <c r="FC145" i="35"/>
  <c r="BS32" i="35"/>
  <c r="BQ33" i="35"/>
  <c r="GG30" i="35"/>
  <c r="BE32" i="35"/>
  <c r="BG31" i="35"/>
  <c r="GV31" i="35" s="1"/>
  <c r="GV30" i="35"/>
  <c r="BF35" i="35"/>
  <c r="HK30" i="35"/>
  <c r="BN33" i="35"/>
  <c r="BO32" i="35"/>
  <c r="FC30" i="35"/>
  <c r="HZ31" i="35"/>
  <c r="CC31" i="35"/>
  <c r="FR30" i="35"/>
  <c r="CD30" i="35"/>
  <c r="BB33" i="35"/>
  <c r="BC32" i="35"/>
  <c r="BV33" i="35"/>
  <c r="BW32" i="35"/>
  <c r="CG30" i="35"/>
  <c r="BY30" i="35"/>
  <c r="BK34" i="35"/>
  <c r="BJ35" i="35"/>
  <c r="FK152" i="20"/>
  <c r="FF145" i="20"/>
  <c r="FF146" i="20"/>
  <c r="FH148" i="20"/>
  <c r="FK149" i="35"/>
  <c r="FD145" i="20"/>
  <c r="FJ149" i="35"/>
  <c r="JJ26" i="20"/>
  <c r="JK26" i="20" s="1"/>
  <c r="JA26" i="20" s="1"/>
  <c r="FG146" i="20"/>
  <c r="FH149" i="20"/>
  <c r="FJ151" i="20"/>
  <c r="FI147" i="35"/>
  <c r="FE145" i="20"/>
  <c r="FG148" i="20"/>
  <c r="FH147" i="35"/>
  <c r="FK150" i="35"/>
  <c r="FI148" i="35"/>
  <c r="BD31" i="20"/>
  <c r="FD30" i="20"/>
  <c r="GH30" i="20"/>
  <c r="GW30" i="20"/>
  <c r="FS30" i="20"/>
  <c r="BX30" i="20"/>
  <c r="HL30" i="20"/>
  <c r="HA34" i="20"/>
  <c r="HP34" i="20"/>
  <c r="GL34" i="20"/>
  <c r="IE34" i="20"/>
  <c r="IT34" i="20"/>
  <c r="FH34" i="20"/>
  <c r="FW34" i="20"/>
  <c r="DT32" i="20"/>
  <c r="EL32" i="20" s="1"/>
  <c r="CU32" i="20"/>
  <c r="EM32" i="20"/>
  <c r="EO32" i="35"/>
  <c r="DV32" i="35"/>
  <c r="EN32" i="35" s="1"/>
  <c r="CS32" i="35"/>
  <c r="FJ36" i="20"/>
  <c r="FY36" i="20"/>
  <c r="HR36" i="20"/>
  <c r="IV36" i="20"/>
  <c r="GN36" i="20"/>
  <c r="IG36" i="20"/>
  <c r="HC36" i="20"/>
  <c r="DS31" i="20"/>
  <c r="EK31" i="20" s="1"/>
  <c r="CV31" i="20"/>
  <c r="DV34" i="20"/>
  <c r="EN34" i="20" s="1"/>
  <c r="CS34" i="20"/>
  <c r="CQ34" i="35"/>
  <c r="DX34" i="35"/>
  <c r="EP34" i="35" s="1"/>
  <c r="CQ36" i="20"/>
  <c r="DX36" i="20"/>
  <c r="EP36" i="20" s="1"/>
  <c r="DU33" i="20"/>
  <c r="CT33" i="20"/>
  <c r="ER35" i="35"/>
  <c r="CN39" i="20"/>
  <c r="AP40" i="20"/>
  <c r="CB39" i="20"/>
  <c r="GK33" i="20"/>
  <c r="FV33" i="20"/>
  <c r="ID33" i="20"/>
  <c r="GZ33" i="20"/>
  <c r="HO33" i="20"/>
  <c r="FG33" i="20"/>
  <c r="IS33" i="20"/>
  <c r="CP35" i="35"/>
  <c r="DY35" i="35"/>
  <c r="EQ35" i="35" s="1"/>
  <c r="CO38" i="20"/>
  <c r="DZ38" i="20"/>
  <c r="ER38" i="20" s="1"/>
  <c r="IQ31" i="20"/>
  <c r="HM31" i="20"/>
  <c r="GX31" i="20"/>
  <c r="GI31" i="20"/>
  <c r="FT31" i="20"/>
  <c r="FE31" i="20"/>
  <c r="IB31" i="20"/>
  <c r="HQ34" i="20"/>
  <c r="IF34" i="20"/>
  <c r="FI34" i="20"/>
  <c r="IU34" i="20"/>
  <c r="HB34" i="20"/>
  <c r="FX34" i="20"/>
  <c r="GM34" i="20"/>
  <c r="IS31" i="35"/>
  <c r="FG31" i="35"/>
  <c r="ID31" i="35"/>
  <c r="FV31" i="35"/>
  <c r="GK31" i="35"/>
  <c r="HO31" i="35"/>
  <c r="GZ31" i="35"/>
  <c r="IF35" i="20"/>
  <c r="HQ35" i="20"/>
  <c r="FI35" i="20"/>
  <c r="GM35" i="20"/>
  <c r="FX35" i="20"/>
  <c r="IU35" i="20"/>
  <c r="HB35" i="20"/>
  <c r="AP38" i="35"/>
  <c r="CN37" i="35"/>
  <c r="CB37" i="35"/>
  <c r="DW33" i="35"/>
  <c r="EO33" i="35" s="1"/>
  <c r="CR33" i="35"/>
  <c r="FF31" i="20"/>
  <c r="IC31" i="20"/>
  <c r="IR31" i="20"/>
  <c r="HN31" i="20"/>
  <c r="GY31" i="20"/>
  <c r="GJ31" i="20"/>
  <c r="FU31" i="20"/>
  <c r="DU31" i="35"/>
  <c r="EM31" i="35" s="1"/>
  <c r="CT31" i="35"/>
  <c r="CR35" i="20"/>
  <c r="DW35" i="20"/>
  <c r="DY37" i="20"/>
  <c r="CP37" i="20"/>
  <c r="FY34" i="35"/>
  <c r="FJ34" i="35"/>
  <c r="HC34" i="35"/>
  <c r="GN34" i="35"/>
  <c r="IG34" i="35"/>
  <c r="HR34" i="35"/>
  <c r="IV34" i="35"/>
  <c r="DZ36" i="35"/>
  <c r="ER36" i="35" s="1"/>
  <c r="CO36" i="35"/>
  <c r="GM33" i="35"/>
  <c r="FI33" i="35"/>
  <c r="HB33" i="35"/>
  <c r="HQ33" i="35"/>
  <c r="IF33" i="35"/>
  <c r="IU33" i="35"/>
  <c r="FX33" i="35"/>
  <c r="FK37" i="20"/>
  <c r="IW37" i="20"/>
  <c r="FZ37" i="20"/>
  <c r="GO37" i="20"/>
  <c r="HD37" i="20"/>
  <c r="IH37" i="20"/>
  <c r="HS37" i="20"/>
  <c r="FC143" i="20"/>
  <c r="JO27" i="35"/>
  <c r="JP27" i="35" s="1"/>
  <c r="BU35" i="35"/>
  <c r="JS26" i="35"/>
  <c r="JT26" i="35" s="1"/>
  <c r="FG145" i="35"/>
  <c r="FH146" i="35"/>
  <c r="FF144" i="35"/>
  <c r="FD151" i="35"/>
  <c r="JG27" i="35"/>
  <c r="JH27" i="35" s="1"/>
  <c r="DT29" i="35"/>
  <c r="EL29" i="35" s="1"/>
  <c r="CU29" i="35"/>
  <c r="EG23" i="35"/>
  <c r="JQ27" i="35"/>
  <c r="JR27" i="35" s="1"/>
  <c r="EM29" i="35"/>
  <c r="DE23" i="35"/>
  <c r="DN23" i="35" s="1"/>
  <c r="DF23" i="35"/>
  <c r="DG23" i="35" s="1"/>
  <c r="DM23" i="35" s="1"/>
  <c r="EI25" i="35"/>
  <c r="FA142" i="35"/>
  <c r="D65" i="34" s="1"/>
  <c r="FE143" i="35"/>
  <c r="FP27" i="35"/>
  <c r="DB25" i="35"/>
  <c r="DA25" i="35"/>
  <c r="DP25" i="35" s="1"/>
  <c r="EH25" i="35" s="1"/>
  <c r="JK27" i="35"/>
  <c r="JL27" i="35" s="1"/>
  <c r="CW27" i="35"/>
  <c r="DR27" i="35" s="1"/>
  <c r="EJ27" i="35" s="1"/>
  <c r="CX27" i="35"/>
  <c r="EE22" i="35"/>
  <c r="FA141" i="35"/>
  <c r="D64" i="34" s="1"/>
  <c r="JI25" i="35"/>
  <c r="JJ25" i="35" s="1"/>
  <c r="JA25" i="35" s="1"/>
  <c r="CZ26" i="35"/>
  <c r="CY26" i="35"/>
  <c r="DQ26" i="35" s="1"/>
  <c r="EI26" i="35" s="1"/>
  <c r="FT28" i="35"/>
  <c r="IB28" i="35"/>
  <c r="HX28" i="35" s="1"/>
  <c r="HM28" i="35"/>
  <c r="HI28" i="35" s="1"/>
  <c r="GX28" i="35"/>
  <c r="GT28" i="35" s="1"/>
  <c r="JM28" i="35" s="1"/>
  <c r="JN28" i="35" s="1"/>
  <c r="GI28" i="35"/>
  <c r="GE28" i="35" s="1"/>
  <c r="IQ28" i="35"/>
  <c r="IM28" i="35" s="1"/>
  <c r="FE28" i="35"/>
  <c r="FA28" i="35" s="1"/>
  <c r="DU30" i="35"/>
  <c r="CT30" i="35"/>
  <c r="IZ27" i="35"/>
  <c r="EF22" i="35"/>
  <c r="DS28" i="35"/>
  <c r="CV28" i="35"/>
  <c r="EC21" i="35"/>
  <c r="GZ30" i="35"/>
  <c r="ID30" i="35"/>
  <c r="FG30" i="35"/>
  <c r="GK30" i="35"/>
  <c r="FV30" i="35"/>
  <c r="HO30" i="35"/>
  <c r="IS30" i="35"/>
  <c r="DC24" i="35"/>
  <c r="DO24" i="35" s="1"/>
  <c r="DD24" i="35"/>
  <c r="JL25" i="28"/>
  <c r="JM25" i="28" s="1"/>
  <c r="JB25" i="28" s="1"/>
  <c r="BY28" i="20"/>
  <c r="GG28" i="20"/>
  <c r="FR28" i="20"/>
  <c r="FP28" i="20" s="1"/>
  <c r="FC28" i="20"/>
  <c r="FA28" i="20" s="1"/>
  <c r="JF28" i="20" s="1"/>
  <c r="JG28" i="20" s="1"/>
  <c r="CH28" i="20"/>
  <c r="DG28" i="20"/>
  <c r="DM28" i="20" s="1"/>
  <c r="CG28" i="20"/>
  <c r="DE28" i="20"/>
  <c r="DN28" i="20" s="1"/>
  <c r="DC28" i="20"/>
  <c r="DO28" i="20" s="1"/>
  <c r="FK150" i="28"/>
  <c r="FJ149" i="28"/>
  <c r="JH26" i="28"/>
  <c r="JI26" i="28" s="1"/>
  <c r="JJ26" i="28"/>
  <c r="JK26" i="28" s="1"/>
  <c r="DY36" i="28"/>
  <c r="EQ36" i="28" s="1"/>
  <c r="CP36" i="28"/>
  <c r="HS36" i="28"/>
  <c r="GO36" i="28"/>
  <c r="FK36" i="28"/>
  <c r="IW36" i="28"/>
  <c r="HD36" i="28"/>
  <c r="IH36" i="28"/>
  <c r="FZ36" i="28"/>
  <c r="CN38" i="28"/>
  <c r="AP39" i="28"/>
  <c r="CB38" i="28"/>
  <c r="DZ37" i="28"/>
  <c r="ER37" i="28" s="1"/>
  <c r="CO37" i="28"/>
  <c r="GW36" i="35"/>
  <c r="GH36" i="35"/>
  <c r="HL36" i="35"/>
  <c r="IA36" i="35"/>
  <c r="BM30" i="20"/>
  <c r="BO29" i="20"/>
  <c r="FC29" i="20" s="1"/>
  <c r="FA29" i="20" s="1"/>
  <c r="FS36" i="35"/>
  <c r="FD36" i="35"/>
  <c r="AZ37" i="35"/>
  <c r="BX36" i="35"/>
  <c r="FA142" i="28"/>
  <c r="JT26" i="28"/>
  <c r="JU26" i="28" s="1"/>
  <c r="BR36" i="20"/>
  <c r="BS35" i="20"/>
  <c r="FF143" i="28"/>
  <c r="DW33" i="28"/>
  <c r="CR33" i="28"/>
  <c r="IM29" i="20"/>
  <c r="IZ29" i="20" s="1"/>
  <c r="GM33" i="28"/>
  <c r="IF33" i="28"/>
  <c r="IU33" i="28"/>
  <c r="FX33" i="28"/>
  <c r="FI33" i="28"/>
  <c r="HB33" i="28"/>
  <c r="HQ33" i="28"/>
  <c r="DY35" i="28"/>
  <c r="EQ35" i="28" s="1"/>
  <c r="CP35" i="28"/>
  <c r="IH35" i="28"/>
  <c r="FZ35" i="28"/>
  <c r="HS35" i="28"/>
  <c r="IW35" i="28"/>
  <c r="FK35" i="28"/>
  <c r="GO35" i="28"/>
  <c r="HD35" i="28"/>
  <c r="IG34" i="28"/>
  <c r="GN34" i="28"/>
  <c r="HR34" i="28"/>
  <c r="FY34" i="28"/>
  <c r="IV34" i="28"/>
  <c r="FJ34" i="28"/>
  <c r="HC34" i="28"/>
  <c r="DX34" i="28"/>
  <c r="EP34" i="28" s="1"/>
  <c r="CQ34" i="28"/>
  <c r="IQ30" i="20"/>
  <c r="IM30" i="20" s="1"/>
  <c r="FE30" i="20"/>
  <c r="FT30" i="20"/>
  <c r="IB30" i="20"/>
  <c r="GX30" i="20"/>
  <c r="HM30" i="20"/>
  <c r="GI30" i="20"/>
  <c r="DS30" i="20"/>
  <c r="EK30" i="20" s="1"/>
  <c r="CV30" i="20"/>
  <c r="CX30" i="20" s="1"/>
  <c r="CZ30" i="20" s="1"/>
  <c r="DB30" i="20" s="1"/>
  <c r="DD30" i="20" s="1"/>
  <c r="DF30" i="20" s="1"/>
  <c r="FH146" i="28"/>
  <c r="FJ148" i="28"/>
  <c r="FE143" i="28"/>
  <c r="FF144" i="28"/>
  <c r="GT27" i="28"/>
  <c r="JN27" i="28" s="1"/>
  <c r="JO27" i="28" s="1"/>
  <c r="FG145" i="28"/>
  <c r="FP27" i="28"/>
  <c r="HI27" i="28"/>
  <c r="JP27" i="28" s="1"/>
  <c r="JQ27" i="28" s="1"/>
  <c r="HX27" i="28"/>
  <c r="JR27" i="28" s="1"/>
  <c r="JS27" i="28" s="1"/>
  <c r="EC21" i="28"/>
  <c r="FA27" i="28"/>
  <c r="EE22" i="28"/>
  <c r="EC22" i="28" s="1"/>
  <c r="EJ26" i="28"/>
  <c r="DD24" i="28"/>
  <c r="DC24" i="28"/>
  <c r="DO24" i="28" s="1"/>
  <c r="EG24" i="28" s="1"/>
  <c r="CZ26" i="28"/>
  <c r="CY26" i="28"/>
  <c r="DQ26" i="28" s="1"/>
  <c r="DS28" i="28"/>
  <c r="EK28" i="28" s="1"/>
  <c r="CV28" i="28"/>
  <c r="DA25" i="28"/>
  <c r="DP25" i="28" s="1"/>
  <c r="EH25" i="28" s="1"/>
  <c r="DB25" i="28"/>
  <c r="GX28" i="28"/>
  <c r="GT28" i="28" s="1"/>
  <c r="IB28" i="28"/>
  <c r="HX28" i="28" s="1"/>
  <c r="FT28" i="28"/>
  <c r="FE28" i="28"/>
  <c r="HM28" i="28"/>
  <c r="HI28" i="28" s="1"/>
  <c r="IQ28" i="28"/>
  <c r="IM28" i="28" s="1"/>
  <c r="GI28" i="28"/>
  <c r="FV30" i="28"/>
  <c r="FG30" i="28"/>
  <c r="GZ30" i="28"/>
  <c r="GK30" i="28"/>
  <c r="HO30" i="28"/>
  <c r="IS30" i="28"/>
  <c r="ID30" i="28"/>
  <c r="DU30" i="28"/>
  <c r="EM30" i="28" s="1"/>
  <c r="CT30" i="28"/>
  <c r="HP31" i="28"/>
  <c r="HA31" i="28"/>
  <c r="GL31" i="28"/>
  <c r="IE31" i="28"/>
  <c r="FW31" i="28"/>
  <c r="IT31" i="28"/>
  <c r="FH31" i="28"/>
  <c r="DV31" i="28"/>
  <c r="EN31" i="28" s="1"/>
  <c r="CS31" i="28"/>
  <c r="DT29" i="28"/>
  <c r="CU29" i="28"/>
  <c r="EG23" i="28"/>
  <c r="JS27" i="20"/>
  <c r="JR28" i="20"/>
  <c r="FI31" i="28"/>
  <c r="HQ31" i="28"/>
  <c r="HB31" i="28"/>
  <c r="GM31" i="28"/>
  <c r="IF31" i="28"/>
  <c r="FX31" i="28"/>
  <c r="IU31" i="28"/>
  <c r="CR32" i="28"/>
  <c r="DW32" i="28"/>
  <c r="CX27" i="28"/>
  <c r="CW27" i="28"/>
  <c r="DR27" i="28" s="1"/>
  <c r="GJ29" i="28"/>
  <c r="FU29" i="28"/>
  <c r="FF29" i="28"/>
  <c r="IR29" i="28"/>
  <c r="HN29" i="28"/>
  <c r="GY29" i="28"/>
  <c r="IC29" i="28"/>
  <c r="IM27" i="28"/>
  <c r="DE23" i="28"/>
  <c r="DN23" i="28" s="1"/>
  <c r="EF23" i="28" s="1"/>
  <c r="DF23" i="28"/>
  <c r="DG23" i="28" s="1"/>
  <c r="DM23" i="28" s="1"/>
  <c r="FI32" i="28"/>
  <c r="HQ32" i="28"/>
  <c r="IU32" i="28"/>
  <c r="GM32" i="28"/>
  <c r="FX32" i="28"/>
  <c r="HB32" i="28"/>
  <c r="IF32" i="28"/>
  <c r="BW32" i="28"/>
  <c r="BV33" i="28"/>
  <c r="BG32" i="28"/>
  <c r="BF33" i="28"/>
  <c r="BC30" i="28"/>
  <c r="HK30" i="28" s="1"/>
  <c r="BA31" i="28"/>
  <c r="BK30" i="28"/>
  <c r="BI31" i="28"/>
  <c r="BS30" i="28"/>
  <c r="BQ31" i="28"/>
  <c r="JH27" i="20"/>
  <c r="JI27" i="20" s="1"/>
  <c r="CF28" i="28"/>
  <c r="FR28" i="28"/>
  <c r="BY28" i="28"/>
  <c r="GG28" i="28"/>
  <c r="CG28" i="28"/>
  <c r="FC28" i="28"/>
  <c r="CC29" i="28"/>
  <c r="HZ29" i="28"/>
  <c r="CD29" i="28"/>
  <c r="HK29" i="28"/>
  <c r="EI28" i="20"/>
  <c r="HZ29" i="20"/>
  <c r="HX29" i="20" s="1"/>
  <c r="JP29" i="20" s="1"/>
  <c r="JQ29" i="20" s="1"/>
  <c r="HK29" i="20"/>
  <c r="HI29" i="20" s="1"/>
  <c r="JN29" i="20" s="1"/>
  <c r="JO29" i="20" s="1"/>
  <c r="GV29" i="20"/>
  <c r="GT29" i="20" s="1"/>
  <c r="JL29" i="20" s="1"/>
  <c r="JM29" i="20" s="1"/>
  <c r="CD29" i="20"/>
  <c r="CC29" i="20"/>
  <c r="CE29" i="20"/>
  <c r="CW29" i="20"/>
  <c r="DR29" i="20" s="1"/>
  <c r="EJ29" i="20" s="1"/>
  <c r="CY29" i="20"/>
  <c r="DQ29" i="20" s="1"/>
  <c r="DA29" i="20"/>
  <c r="DP29" i="20" s="1"/>
  <c r="FA143" i="20"/>
  <c r="BU31" i="20"/>
  <c r="BW30" i="20"/>
  <c r="EH28" i="20"/>
  <c r="EF26" i="20"/>
  <c r="EE26" i="20"/>
  <c r="BA31" i="20"/>
  <c r="BC30" i="20"/>
  <c r="DE27" i="20"/>
  <c r="DN27" i="20" s="1"/>
  <c r="EF27" i="20" s="1"/>
  <c r="DF27" i="20"/>
  <c r="DG27" i="20" s="1"/>
  <c r="DM27" i="20" s="1"/>
  <c r="BG31" i="20"/>
  <c r="BF32" i="20"/>
  <c r="BM30" i="28"/>
  <c r="BO29" i="28"/>
  <c r="CF29" i="28" s="1"/>
  <c r="FC143" i="28"/>
  <c r="GE27" i="28"/>
  <c r="BN33" i="20"/>
  <c r="EC25" i="20"/>
  <c r="BK33" i="20"/>
  <c r="BJ34" i="20"/>
  <c r="GV29" i="28"/>
  <c r="CE29" i="28"/>
  <c r="FC146" i="35" l="1"/>
  <c r="HK31" i="35"/>
  <c r="GG31" i="35"/>
  <c r="CF31" i="35"/>
  <c r="FR31" i="35"/>
  <c r="FC31" i="35"/>
  <c r="CG31" i="35"/>
  <c r="CH31" i="35"/>
  <c r="BY31" i="35"/>
  <c r="CE31" i="35"/>
  <c r="BQ34" i="35"/>
  <c r="BS33" i="35"/>
  <c r="CD31" i="35"/>
  <c r="BN34" i="35"/>
  <c r="BO33" i="35"/>
  <c r="BF36" i="35"/>
  <c r="BV34" i="35"/>
  <c r="BW33" i="35"/>
  <c r="CC32" i="35"/>
  <c r="HZ32" i="35"/>
  <c r="BB34" i="35"/>
  <c r="BC33" i="35"/>
  <c r="BE33" i="35"/>
  <c r="BG32" i="35"/>
  <c r="CD32" i="35" s="1"/>
  <c r="BJ36" i="35"/>
  <c r="BK35" i="35"/>
  <c r="FI151" i="20"/>
  <c r="FD146" i="20"/>
  <c r="JJ27" i="20"/>
  <c r="JK27" i="20" s="1"/>
  <c r="JA27" i="20" s="1"/>
  <c r="FK153" i="20"/>
  <c r="FC144" i="20"/>
  <c r="FI149" i="35"/>
  <c r="FJ152" i="20"/>
  <c r="FE146" i="20"/>
  <c r="FF147" i="20"/>
  <c r="FI150" i="20"/>
  <c r="FG149" i="20"/>
  <c r="FH150" i="20"/>
  <c r="FE147" i="20"/>
  <c r="CX31" i="20"/>
  <c r="CZ31" i="20" s="1"/>
  <c r="DB31" i="20" s="1"/>
  <c r="DD31" i="20" s="1"/>
  <c r="DF31" i="20" s="1"/>
  <c r="FJ150" i="35"/>
  <c r="FG147" i="35"/>
  <c r="BD32" i="20"/>
  <c r="HL31" i="20"/>
  <c r="BX31" i="20"/>
  <c r="GW31" i="20"/>
  <c r="FD31" i="20"/>
  <c r="GH31" i="20"/>
  <c r="FS31" i="20"/>
  <c r="IM31" i="20"/>
  <c r="FJ35" i="35"/>
  <c r="IV35" i="35"/>
  <c r="FY35" i="35"/>
  <c r="GN35" i="35"/>
  <c r="HC35" i="35"/>
  <c r="IG35" i="35"/>
  <c r="HR35" i="35"/>
  <c r="DV35" i="20"/>
  <c r="CS35" i="20"/>
  <c r="CU31" i="35"/>
  <c r="DT31" i="35"/>
  <c r="EL31" i="35" s="1"/>
  <c r="CR34" i="35"/>
  <c r="DW34" i="35"/>
  <c r="ID32" i="35"/>
  <c r="FG32" i="35"/>
  <c r="GK32" i="35"/>
  <c r="FV32" i="35"/>
  <c r="HO32" i="35"/>
  <c r="IS32" i="35"/>
  <c r="GZ32" i="35"/>
  <c r="HS35" i="35"/>
  <c r="FK35" i="35"/>
  <c r="FZ35" i="35"/>
  <c r="IW35" i="35"/>
  <c r="GO35" i="35"/>
  <c r="HD35" i="35"/>
  <c r="IH35" i="35"/>
  <c r="CT34" i="20"/>
  <c r="DU34" i="20"/>
  <c r="IT32" i="35"/>
  <c r="HA32" i="35"/>
  <c r="FH32" i="35"/>
  <c r="IE32" i="35"/>
  <c r="FW32" i="35"/>
  <c r="GL32" i="35"/>
  <c r="HP32" i="35"/>
  <c r="DV33" i="35"/>
  <c r="EN33" i="35" s="1"/>
  <c r="CS33" i="35"/>
  <c r="HP33" i="35"/>
  <c r="FW33" i="35"/>
  <c r="FH33" i="35"/>
  <c r="IT33" i="35"/>
  <c r="GL33" i="35"/>
  <c r="HA33" i="35"/>
  <c r="IE33" i="35"/>
  <c r="FZ38" i="20"/>
  <c r="HS38" i="20"/>
  <c r="FK38" i="20"/>
  <c r="GO38" i="20"/>
  <c r="HD38" i="20"/>
  <c r="IH38" i="20"/>
  <c r="IW38" i="20"/>
  <c r="DT33" i="20"/>
  <c r="EL33" i="20" s="1"/>
  <c r="CU33" i="20"/>
  <c r="ID34" i="20"/>
  <c r="FV34" i="20"/>
  <c r="GK34" i="20"/>
  <c r="FG34" i="20"/>
  <c r="GZ34" i="20"/>
  <c r="HO34" i="20"/>
  <c r="IS34" i="20"/>
  <c r="GI32" i="20"/>
  <c r="FT32" i="20"/>
  <c r="IB32" i="20"/>
  <c r="IQ32" i="20"/>
  <c r="GX32" i="20"/>
  <c r="HM32" i="20"/>
  <c r="FE32" i="20"/>
  <c r="HN31" i="35"/>
  <c r="IR31" i="35"/>
  <c r="FF31" i="35"/>
  <c r="GY31" i="35"/>
  <c r="FU31" i="35"/>
  <c r="IC31" i="35"/>
  <c r="GJ31" i="35"/>
  <c r="CP36" i="35"/>
  <c r="DY36" i="35"/>
  <c r="DY38" i="20"/>
  <c r="EQ38" i="20" s="1"/>
  <c r="CP38" i="20"/>
  <c r="EM33" i="20"/>
  <c r="IR32" i="20"/>
  <c r="HN32" i="20"/>
  <c r="GY32" i="20"/>
  <c r="IC32" i="20"/>
  <c r="GJ32" i="20"/>
  <c r="FF32" i="20"/>
  <c r="FU32" i="20"/>
  <c r="HQ34" i="35"/>
  <c r="IU34" i="35"/>
  <c r="IF34" i="35"/>
  <c r="FX34" i="35"/>
  <c r="FI34" i="35"/>
  <c r="HB34" i="35"/>
  <c r="GM34" i="35"/>
  <c r="HS36" i="35"/>
  <c r="IW36" i="35"/>
  <c r="HD36" i="35"/>
  <c r="GO36" i="35"/>
  <c r="FK36" i="35"/>
  <c r="IH36" i="35"/>
  <c r="FZ36" i="35"/>
  <c r="CQ37" i="20"/>
  <c r="DX37" i="20"/>
  <c r="EP37" i="20" s="1"/>
  <c r="DZ37" i="35"/>
  <c r="ER37" i="35" s="1"/>
  <c r="CO37" i="35"/>
  <c r="HQ36" i="20"/>
  <c r="FX36" i="20"/>
  <c r="HB36" i="20"/>
  <c r="IF36" i="20"/>
  <c r="GM36" i="20"/>
  <c r="IU36" i="20"/>
  <c r="FI36" i="20"/>
  <c r="EQ37" i="20"/>
  <c r="AP39" i="35"/>
  <c r="CN38" i="35"/>
  <c r="CB38" i="35"/>
  <c r="CQ35" i="35"/>
  <c r="DX35" i="35"/>
  <c r="EP35" i="35" s="1"/>
  <c r="CR36" i="20"/>
  <c r="DW36" i="20"/>
  <c r="DU32" i="35"/>
  <c r="EM32" i="35" s="1"/>
  <c r="CT32" i="35"/>
  <c r="DS32" i="20"/>
  <c r="EK32" i="20" s="1"/>
  <c r="CV32" i="20"/>
  <c r="DZ39" i="20"/>
  <c r="ER39" i="20" s="1"/>
  <c r="CO39" i="20"/>
  <c r="EO35" i="20"/>
  <c r="EN35" i="20"/>
  <c r="CN40" i="20"/>
  <c r="O9" i="20"/>
  <c r="O10" i="20" s="1"/>
  <c r="CB40" i="20"/>
  <c r="CB44" i="20" s="1"/>
  <c r="CB46" i="20" s="1"/>
  <c r="AP42" i="20"/>
  <c r="JO28" i="35"/>
  <c r="JP28" i="35" s="1"/>
  <c r="JL26" i="28"/>
  <c r="JM26" i="28" s="1"/>
  <c r="JB26" i="28" s="1"/>
  <c r="JS27" i="35"/>
  <c r="JT27" i="35" s="1"/>
  <c r="BU36" i="35"/>
  <c r="JG28" i="35"/>
  <c r="JH28" i="35" s="1"/>
  <c r="EE23" i="35"/>
  <c r="FG146" i="35"/>
  <c r="JQ28" i="35"/>
  <c r="JR28" i="35" s="1"/>
  <c r="JK28" i="35"/>
  <c r="JL28" i="35" s="1"/>
  <c r="EG24" i="35"/>
  <c r="DB26" i="35"/>
  <c r="DA26" i="35"/>
  <c r="DP26" i="35" s="1"/>
  <c r="EH26" i="35" s="1"/>
  <c r="DC25" i="35"/>
  <c r="DO25" i="35" s="1"/>
  <c r="DD25" i="35"/>
  <c r="CX28" i="35"/>
  <c r="CW28" i="35"/>
  <c r="DR28" i="35" s="1"/>
  <c r="EJ28" i="35" s="1"/>
  <c r="IZ28" i="35"/>
  <c r="FA143" i="35"/>
  <c r="D66" i="34" s="1"/>
  <c r="IQ29" i="35"/>
  <c r="IB29" i="35"/>
  <c r="FT29" i="35"/>
  <c r="GI29" i="35"/>
  <c r="FE29" i="35"/>
  <c r="HM29" i="35"/>
  <c r="GX29" i="35"/>
  <c r="EK28" i="35"/>
  <c r="IC29" i="35"/>
  <c r="HN29" i="35"/>
  <c r="FF29" i="35"/>
  <c r="FU29" i="35"/>
  <c r="GJ29" i="35"/>
  <c r="IR29" i="35"/>
  <c r="GY29" i="35"/>
  <c r="EC22" i="35"/>
  <c r="JI26" i="35"/>
  <c r="JJ26" i="35" s="1"/>
  <c r="JA26" i="35" s="1"/>
  <c r="CZ27" i="35"/>
  <c r="CY27" i="35"/>
  <c r="DQ27" i="35" s="1"/>
  <c r="EI27" i="35" s="1"/>
  <c r="EF23" i="35"/>
  <c r="CU30" i="35"/>
  <c r="DT30" i="35"/>
  <c r="EL30" i="35" s="1"/>
  <c r="FP28" i="35"/>
  <c r="FE144" i="35"/>
  <c r="CV29" i="35"/>
  <c r="DS29" i="35"/>
  <c r="DF24" i="35"/>
  <c r="DG24" i="35" s="1"/>
  <c r="DM24" i="35" s="1"/>
  <c r="DE24" i="35"/>
  <c r="DN24" i="35" s="1"/>
  <c r="EM30" i="35"/>
  <c r="GE28" i="20"/>
  <c r="FA144" i="20" s="1"/>
  <c r="JF29" i="20"/>
  <c r="JG29" i="20" s="1"/>
  <c r="GG29" i="20"/>
  <c r="GE29" i="20" s="1"/>
  <c r="FK152" i="28"/>
  <c r="CH29" i="20"/>
  <c r="FR29" i="20"/>
  <c r="FP29" i="20" s="1"/>
  <c r="DG29" i="20"/>
  <c r="DM29" i="20" s="1"/>
  <c r="CG29" i="20"/>
  <c r="DE29" i="20"/>
  <c r="DN29" i="20" s="1"/>
  <c r="BY29" i="20"/>
  <c r="DC29" i="20"/>
  <c r="DO29" i="20" s="1"/>
  <c r="EG29" i="20" s="1"/>
  <c r="CF29" i="20"/>
  <c r="EF28" i="20"/>
  <c r="EE28" i="20"/>
  <c r="EG28" i="20"/>
  <c r="FD152" i="35"/>
  <c r="JJ27" i="28"/>
  <c r="JK27" i="28" s="1"/>
  <c r="JH27" i="28"/>
  <c r="JI27" i="28" s="1"/>
  <c r="FI149" i="28"/>
  <c r="DY37" i="28"/>
  <c r="CP37" i="28"/>
  <c r="IW37" i="28"/>
  <c r="GO37" i="28"/>
  <c r="HS37" i="28"/>
  <c r="HD37" i="28"/>
  <c r="FZ37" i="28"/>
  <c r="IH37" i="28"/>
  <c r="FK37" i="28"/>
  <c r="CN39" i="28"/>
  <c r="AP40" i="28"/>
  <c r="CB39" i="28"/>
  <c r="DZ38" i="28"/>
  <c r="ER38" i="28" s="1"/>
  <c r="CO38" i="28"/>
  <c r="DX36" i="28"/>
  <c r="CQ36" i="28"/>
  <c r="IV36" i="28"/>
  <c r="IG36" i="28"/>
  <c r="HC36" i="28"/>
  <c r="FY36" i="28"/>
  <c r="GN36" i="28"/>
  <c r="HR36" i="28"/>
  <c r="FJ36" i="28"/>
  <c r="IA37" i="35"/>
  <c r="GH37" i="35"/>
  <c r="HL37" i="35"/>
  <c r="GW37" i="35"/>
  <c r="BM31" i="20"/>
  <c r="BO30" i="20"/>
  <c r="FC30" i="20" s="1"/>
  <c r="FA30" i="20" s="1"/>
  <c r="FD37" i="35"/>
  <c r="FS37" i="35"/>
  <c r="AZ38" i="35"/>
  <c r="BX37" i="35"/>
  <c r="FJ150" i="28"/>
  <c r="IZ30" i="20"/>
  <c r="FI148" i="28"/>
  <c r="BK34" i="20"/>
  <c r="BJ35" i="20"/>
  <c r="BR37" i="20"/>
  <c r="BS36" i="20"/>
  <c r="FI147" i="28"/>
  <c r="FH147" i="28"/>
  <c r="DW34" i="28"/>
  <c r="CR34" i="28"/>
  <c r="DX35" i="28"/>
  <c r="CQ35" i="28"/>
  <c r="HQ34" i="28"/>
  <c r="HB34" i="28"/>
  <c r="FX34" i="28"/>
  <c r="FI34" i="28"/>
  <c r="IU34" i="28"/>
  <c r="IF34" i="28"/>
  <c r="GM34" i="28"/>
  <c r="HR35" i="28"/>
  <c r="GN35" i="28"/>
  <c r="FY35" i="28"/>
  <c r="IV35" i="28"/>
  <c r="FJ35" i="28"/>
  <c r="HC35" i="28"/>
  <c r="IG35" i="28"/>
  <c r="FK151" i="28"/>
  <c r="DV33" i="28"/>
  <c r="EN33" i="28" s="1"/>
  <c r="CS33" i="28"/>
  <c r="EO33" i="28"/>
  <c r="FF145" i="28"/>
  <c r="FG146" i="28"/>
  <c r="FA28" i="28"/>
  <c r="FE144" i="28"/>
  <c r="JN28" i="28"/>
  <c r="JO28" i="28" s="1"/>
  <c r="JP28" i="28"/>
  <c r="JQ28" i="28" s="1"/>
  <c r="JR28" i="28"/>
  <c r="JS28" i="28" s="1"/>
  <c r="FP28" i="28"/>
  <c r="EJ27" i="28"/>
  <c r="EL29" i="28"/>
  <c r="CZ27" i="28"/>
  <c r="CY27" i="28"/>
  <c r="DQ27" i="28" s="1"/>
  <c r="DU31" i="28"/>
  <c r="EM31" i="28" s="1"/>
  <c r="CT31" i="28"/>
  <c r="DB26" i="28"/>
  <c r="DA26" i="28"/>
  <c r="DP26" i="28" s="1"/>
  <c r="DV32" i="28"/>
  <c r="EN32" i="28" s="1"/>
  <c r="CS32" i="28"/>
  <c r="JS28" i="20"/>
  <c r="JR29" i="20"/>
  <c r="GJ30" i="28"/>
  <c r="GY30" i="28"/>
  <c r="IR30" i="28"/>
  <c r="HN30" i="28"/>
  <c r="IC30" i="28"/>
  <c r="FF30" i="28"/>
  <c r="FU30" i="28"/>
  <c r="HO31" i="28"/>
  <c r="FG31" i="28"/>
  <c r="GZ31" i="28"/>
  <c r="IS31" i="28"/>
  <c r="GK31" i="28"/>
  <c r="FV31" i="28"/>
  <c r="ID31" i="28"/>
  <c r="DC25" i="28"/>
  <c r="DO25" i="28" s="1"/>
  <c r="DD25" i="28"/>
  <c r="DE24" i="28"/>
  <c r="DN24" i="28" s="1"/>
  <c r="DF24" i="28"/>
  <c r="DG24" i="28" s="1"/>
  <c r="DM24" i="28" s="1"/>
  <c r="EI26" i="28"/>
  <c r="EE23" i="28"/>
  <c r="EC23" i="28" s="1"/>
  <c r="EO32" i="28"/>
  <c r="DT30" i="28"/>
  <c r="EL30" i="28" s="1"/>
  <c r="CU30" i="28"/>
  <c r="JA27" i="28"/>
  <c r="JA28" i="28" s="1"/>
  <c r="JT27" i="28"/>
  <c r="JU27" i="28" s="1"/>
  <c r="DS29" i="28"/>
  <c r="EK29" i="28" s="1"/>
  <c r="CV29" i="28"/>
  <c r="CX28" i="28"/>
  <c r="CW28" i="28"/>
  <c r="DR28" i="28" s="1"/>
  <c r="BG33" i="28"/>
  <c r="BF34" i="28"/>
  <c r="BW33" i="28"/>
  <c r="BV34" i="28"/>
  <c r="CC30" i="28"/>
  <c r="GV30" i="28"/>
  <c r="CD30" i="28"/>
  <c r="HZ30" i="28"/>
  <c r="BK31" i="28"/>
  <c r="BI32" i="28"/>
  <c r="BC31" i="28"/>
  <c r="HK31" i="28" s="1"/>
  <c r="BA32" i="28"/>
  <c r="BS31" i="28"/>
  <c r="BQ32" i="28"/>
  <c r="CE30" i="28"/>
  <c r="BO30" i="28"/>
  <c r="GG30" i="28" s="1"/>
  <c r="BM31" i="28"/>
  <c r="JH28" i="20"/>
  <c r="JI28" i="20" s="1"/>
  <c r="FC144" i="28"/>
  <c r="GE28" i="28"/>
  <c r="EI29" i="20"/>
  <c r="FR29" i="28"/>
  <c r="FC29" i="28"/>
  <c r="CG29" i="28"/>
  <c r="EE27" i="20"/>
  <c r="EC27" i="20" s="1"/>
  <c r="GG29" i="28"/>
  <c r="EH29" i="20"/>
  <c r="EC26" i="20"/>
  <c r="FA143" i="28"/>
  <c r="BY29" i="28"/>
  <c r="BG32" i="20"/>
  <c r="BF33" i="20"/>
  <c r="HZ30" i="20"/>
  <c r="HX30" i="20" s="1"/>
  <c r="JP30" i="20" s="1"/>
  <c r="JQ30" i="20" s="1"/>
  <c r="HK30" i="20"/>
  <c r="HI30" i="20" s="1"/>
  <c r="JN30" i="20" s="1"/>
  <c r="JO30" i="20" s="1"/>
  <c r="GV30" i="20"/>
  <c r="GT30" i="20" s="1"/>
  <c r="JL30" i="20" s="1"/>
  <c r="JM30" i="20" s="1"/>
  <c r="CD30" i="20"/>
  <c r="CC30" i="20"/>
  <c r="CE30" i="20"/>
  <c r="CW30" i="20"/>
  <c r="DR30" i="20" s="1"/>
  <c r="EJ30" i="20" s="1"/>
  <c r="CY30" i="20"/>
  <c r="DQ30" i="20" s="1"/>
  <c r="DA30" i="20"/>
  <c r="DP30" i="20" s="1"/>
  <c r="CH29" i="28"/>
  <c r="BN34" i="20"/>
  <c r="BA32" i="20"/>
  <c r="BC31" i="20"/>
  <c r="BU32" i="20"/>
  <c r="BW31" i="20"/>
  <c r="FC147" i="35" l="1"/>
  <c r="FC32" i="35"/>
  <c r="HK32" i="35"/>
  <c r="BS34" i="35"/>
  <c r="BQ35" i="35"/>
  <c r="FR32" i="35"/>
  <c r="FC148" i="35" s="1"/>
  <c r="BE34" i="35"/>
  <c r="BG33" i="35"/>
  <c r="GG33" i="35" s="1"/>
  <c r="CF32" i="35"/>
  <c r="CC33" i="35"/>
  <c r="HZ33" i="35"/>
  <c r="BV35" i="35"/>
  <c r="BW34" i="35"/>
  <c r="BC34" i="35"/>
  <c r="BB35" i="35"/>
  <c r="CE32" i="35"/>
  <c r="BY32" i="35"/>
  <c r="GV32" i="35"/>
  <c r="BF37" i="35"/>
  <c r="CH32" i="35"/>
  <c r="GG32" i="35"/>
  <c r="BJ37" i="35"/>
  <c r="BK36" i="35"/>
  <c r="CG32" i="35"/>
  <c r="BN35" i="35"/>
  <c r="BO34" i="35"/>
  <c r="FK154" i="20"/>
  <c r="FJ151" i="35"/>
  <c r="CX32" i="20"/>
  <c r="CZ32" i="20" s="1"/>
  <c r="DB32" i="20" s="1"/>
  <c r="DD32" i="20" s="1"/>
  <c r="DF32" i="20" s="1"/>
  <c r="FG150" i="20"/>
  <c r="FI152" i="20"/>
  <c r="FD147" i="20"/>
  <c r="FK151" i="35"/>
  <c r="FE148" i="20"/>
  <c r="FF148" i="20"/>
  <c r="FF147" i="35"/>
  <c r="FI150" i="35"/>
  <c r="FH149" i="35"/>
  <c r="FG148" i="35"/>
  <c r="FK152" i="35"/>
  <c r="FH148" i="35"/>
  <c r="IZ31" i="20"/>
  <c r="BD33" i="20"/>
  <c r="HL32" i="20"/>
  <c r="GH32" i="20"/>
  <c r="GW32" i="20"/>
  <c r="BX32" i="20"/>
  <c r="FD32" i="20"/>
  <c r="FS32" i="20"/>
  <c r="JS28" i="35"/>
  <c r="JT28" i="35" s="1"/>
  <c r="IM32" i="20"/>
  <c r="GM37" i="20"/>
  <c r="HB37" i="20"/>
  <c r="IF37" i="20"/>
  <c r="HQ37" i="20"/>
  <c r="FI37" i="20"/>
  <c r="IU37" i="20"/>
  <c r="FX37" i="20"/>
  <c r="FY37" i="20"/>
  <c r="IV37" i="20"/>
  <c r="IG37" i="20"/>
  <c r="GN37" i="20"/>
  <c r="FJ37" i="20"/>
  <c r="HC37" i="20"/>
  <c r="HR37" i="20"/>
  <c r="GL35" i="20"/>
  <c r="FW35" i="20"/>
  <c r="HP35" i="20"/>
  <c r="IE35" i="20"/>
  <c r="FH35" i="20"/>
  <c r="HA35" i="20"/>
  <c r="IT35" i="20"/>
  <c r="DV36" i="20"/>
  <c r="CS36" i="20"/>
  <c r="CP37" i="35"/>
  <c r="DY37" i="35"/>
  <c r="EQ37" i="35" s="1"/>
  <c r="EM34" i="20"/>
  <c r="EO34" i="35"/>
  <c r="HQ35" i="35"/>
  <c r="FX35" i="35"/>
  <c r="IF35" i="35"/>
  <c r="IU35" i="35"/>
  <c r="GM35" i="35"/>
  <c r="HB35" i="35"/>
  <c r="FI35" i="35"/>
  <c r="DY39" i="20"/>
  <c r="EQ39" i="20" s="1"/>
  <c r="CP39" i="20"/>
  <c r="FK37" i="35"/>
  <c r="FZ37" i="35"/>
  <c r="HD37" i="35"/>
  <c r="HS37" i="35"/>
  <c r="IH37" i="35"/>
  <c r="IW37" i="35"/>
  <c r="GO37" i="35"/>
  <c r="GI33" i="20"/>
  <c r="HM33" i="20"/>
  <c r="IB33" i="20"/>
  <c r="FE33" i="20"/>
  <c r="FT33" i="20"/>
  <c r="IQ33" i="20"/>
  <c r="GX33" i="20"/>
  <c r="DT34" i="20"/>
  <c r="EL34" i="20" s="1"/>
  <c r="CU34" i="20"/>
  <c r="CS34" i="35"/>
  <c r="DV34" i="35"/>
  <c r="EN34" i="35" s="1"/>
  <c r="HS39" i="20"/>
  <c r="HD39" i="20"/>
  <c r="FK39" i="20"/>
  <c r="IW39" i="20"/>
  <c r="FZ39" i="20"/>
  <c r="IH39" i="20"/>
  <c r="GO39" i="20"/>
  <c r="CR35" i="35"/>
  <c r="DW35" i="35"/>
  <c r="EO35" i="35" s="1"/>
  <c r="GJ33" i="20"/>
  <c r="FF33" i="20"/>
  <c r="IC33" i="20"/>
  <c r="HN33" i="20"/>
  <c r="IR33" i="20"/>
  <c r="GY33" i="20"/>
  <c r="FU33" i="20"/>
  <c r="GX31" i="35"/>
  <c r="GT31" i="35" s="1"/>
  <c r="FT31" i="35"/>
  <c r="GI31" i="35"/>
  <c r="GE31" i="35" s="1"/>
  <c r="IQ31" i="35"/>
  <c r="IM31" i="35" s="1"/>
  <c r="FE31" i="35"/>
  <c r="FA31" i="35" s="1"/>
  <c r="IB31" i="35"/>
  <c r="HX31" i="35" s="1"/>
  <c r="HM31" i="35"/>
  <c r="HI31" i="35" s="1"/>
  <c r="CB42" i="20"/>
  <c r="CC42" i="20"/>
  <c r="DW37" i="20"/>
  <c r="CR37" i="20"/>
  <c r="CQ38" i="20"/>
  <c r="DX38" i="20"/>
  <c r="DS31" i="35"/>
  <c r="CV31" i="35"/>
  <c r="GK35" i="20"/>
  <c r="ID35" i="20"/>
  <c r="FG35" i="20"/>
  <c r="FV35" i="20"/>
  <c r="IS35" i="20"/>
  <c r="GZ35" i="20"/>
  <c r="HO35" i="20"/>
  <c r="GZ33" i="35"/>
  <c r="FV33" i="35"/>
  <c r="IS33" i="35"/>
  <c r="GK33" i="35"/>
  <c r="HO33" i="35"/>
  <c r="ID33" i="35"/>
  <c r="FG33" i="35"/>
  <c r="CO38" i="35"/>
  <c r="DZ38" i="35"/>
  <c r="HR38" i="20"/>
  <c r="HC38" i="20"/>
  <c r="FY38" i="20"/>
  <c r="IV38" i="20"/>
  <c r="IG38" i="20"/>
  <c r="FJ38" i="20"/>
  <c r="GN38" i="20"/>
  <c r="CU32" i="35"/>
  <c r="DT32" i="35"/>
  <c r="EL32" i="35" s="1"/>
  <c r="AP40" i="35"/>
  <c r="CN39" i="35"/>
  <c r="CB39" i="35"/>
  <c r="EQ36" i="35"/>
  <c r="DS33" i="20"/>
  <c r="EK33" i="20" s="1"/>
  <c r="CV33" i="20"/>
  <c r="EO36" i="20"/>
  <c r="EN36" i="20"/>
  <c r="CO40" i="20"/>
  <c r="DZ40" i="20"/>
  <c r="ER40" i="20" s="1"/>
  <c r="GJ32" i="35"/>
  <c r="HN32" i="35"/>
  <c r="GY32" i="35"/>
  <c r="IR32" i="35"/>
  <c r="FF32" i="35"/>
  <c r="IC32" i="35"/>
  <c r="FU32" i="35"/>
  <c r="DX36" i="35"/>
  <c r="CQ36" i="35"/>
  <c r="CT33" i="35"/>
  <c r="DU33" i="35"/>
  <c r="EM33" i="35" s="1"/>
  <c r="DU35" i="20"/>
  <c r="CT35" i="20"/>
  <c r="JL27" i="28"/>
  <c r="JM27" i="28" s="1"/>
  <c r="JB27" i="28" s="1"/>
  <c r="EE24" i="35"/>
  <c r="EC23" i="35"/>
  <c r="JJ28" i="20"/>
  <c r="JK28" i="20" s="1"/>
  <c r="JA28" i="20" s="1"/>
  <c r="BU37" i="35"/>
  <c r="FJ151" i="28"/>
  <c r="FC145" i="20"/>
  <c r="EF29" i="20"/>
  <c r="FF145" i="35"/>
  <c r="JF30" i="20"/>
  <c r="JG30" i="20" s="1"/>
  <c r="GT29" i="35"/>
  <c r="JM29" i="35" s="1"/>
  <c r="JN29" i="35" s="1"/>
  <c r="EK29" i="35"/>
  <c r="DA27" i="35"/>
  <c r="DP27" i="35" s="1"/>
  <c r="EH27" i="35" s="1"/>
  <c r="DB27" i="35"/>
  <c r="FP29" i="35"/>
  <c r="FE145" i="35"/>
  <c r="CZ28" i="35"/>
  <c r="CY28" i="35"/>
  <c r="DQ28" i="35" s="1"/>
  <c r="EI28" i="35" s="1"/>
  <c r="CX29" i="35"/>
  <c r="CW29" i="35"/>
  <c r="DR29" i="35" s="1"/>
  <c r="EJ29" i="35" s="1"/>
  <c r="HX29" i="35"/>
  <c r="JQ29" i="35" s="1"/>
  <c r="JR29" i="35" s="1"/>
  <c r="IM29" i="35"/>
  <c r="DF25" i="35"/>
  <c r="DG25" i="35" s="1"/>
  <c r="DM25" i="35" s="1"/>
  <c r="DE25" i="35"/>
  <c r="DN25" i="35" s="1"/>
  <c r="FA144" i="35"/>
  <c r="D67" i="34" s="1"/>
  <c r="JI27" i="35"/>
  <c r="JJ27" i="35" s="1"/>
  <c r="JA27" i="35" s="1"/>
  <c r="EG25" i="35"/>
  <c r="IB30" i="35"/>
  <c r="IQ30" i="35"/>
  <c r="HM30" i="35"/>
  <c r="FT30" i="35"/>
  <c r="FE30" i="35"/>
  <c r="GI30" i="35"/>
  <c r="GX30" i="35"/>
  <c r="HN30" i="35"/>
  <c r="IR30" i="35"/>
  <c r="GY30" i="35"/>
  <c r="GJ30" i="35"/>
  <c r="IC30" i="35"/>
  <c r="FF30" i="35"/>
  <c r="FU30" i="35"/>
  <c r="DS30" i="35"/>
  <c r="CV30" i="35"/>
  <c r="HI29" i="35"/>
  <c r="JO29" i="35" s="1"/>
  <c r="JP29" i="35" s="1"/>
  <c r="DD26" i="35"/>
  <c r="DC26" i="35"/>
  <c r="DO26" i="35" s="1"/>
  <c r="FA29" i="35"/>
  <c r="JG29" i="35" s="1"/>
  <c r="JH29" i="35" s="1"/>
  <c r="EF24" i="35"/>
  <c r="GE29" i="35"/>
  <c r="JK29" i="35" s="1"/>
  <c r="JL29" i="35" s="1"/>
  <c r="EE29" i="20"/>
  <c r="EC28" i="20"/>
  <c r="FR30" i="20"/>
  <c r="FP30" i="20" s="1"/>
  <c r="GG30" i="20"/>
  <c r="GE30" i="20" s="1"/>
  <c r="FK153" i="28"/>
  <c r="FJ152" i="28"/>
  <c r="DE30" i="20"/>
  <c r="DN30" i="20" s="1"/>
  <c r="BY30" i="20"/>
  <c r="DC30" i="20"/>
  <c r="DO30" i="20" s="1"/>
  <c r="EG30" i="20" s="1"/>
  <c r="CG30" i="20"/>
  <c r="CF30" i="20"/>
  <c r="DG30" i="20"/>
  <c r="DM30" i="20" s="1"/>
  <c r="CH30" i="20"/>
  <c r="JJ28" i="28"/>
  <c r="JK28" i="28" s="1"/>
  <c r="FD153" i="35"/>
  <c r="JH28" i="28"/>
  <c r="JI28" i="28" s="1"/>
  <c r="FI150" i="28"/>
  <c r="DW36" i="28"/>
  <c r="EO36" i="28" s="1"/>
  <c r="CR36" i="28"/>
  <c r="EP36" i="28"/>
  <c r="DY38" i="28"/>
  <c r="EQ38" i="28" s="1"/>
  <c r="CP38" i="28"/>
  <c r="FZ38" i="28"/>
  <c r="HS38" i="28"/>
  <c r="FK38" i="28"/>
  <c r="GO38" i="28"/>
  <c r="IW38" i="28"/>
  <c r="IH38" i="28"/>
  <c r="HD38" i="28"/>
  <c r="CN40" i="28"/>
  <c r="O9" i="28"/>
  <c r="O12" i="28" s="1"/>
  <c r="P12" i="28" s="1"/>
  <c r="Q12" i="28" s="1"/>
  <c r="R12" i="28" s="1"/>
  <c r="T12" i="28" s="1"/>
  <c r="U12" i="28" s="1"/>
  <c r="V12" i="28" s="1"/>
  <c r="Z12" i="28" s="1"/>
  <c r="CB40" i="28"/>
  <c r="CB44" i="28" s="1"/>
  <c r="CB46" i="28" s="1"/>
  <c r="AP42" i="28"/>
  <c r="DZ39" i="28"/>
  <c r="ER39" i="28" s="1"/>
  <c r="CO39" i="28"/>
  <c r="DX37" i="28"/>
  <c r="EP37" i="28" s="1"/>
  <c r="CQ37" i="28"/>
  <c r="EQ37" i="28"/>
  <c r="GW38" i="35"/>
  <c r="HL38" i="35"/>
  <c r="IA38" i="35"/>
  <c r="GH38" i="35"/>
  <c r="BM32" i="20"/>
  <c r="BO31" i="20"/>
  <c r="CG31" i="20" s="1"/>
  <c r="FD38" i="35"/>
  <c r="FS38" i="35"/>
  <c r="AZ39" i="35"/>
  <c r="BX38" i="35"/>
  <c r="BW34" i="28"/>
  <c r="BV35" i="28"/>
  <c r="BG34" i="28"/>
  <c r="BF35" i="28"/>
  <c r="BR38" i="20"/>
  <c r="BS37" i="20"/>
  <c r="BJ36" i="20"/>
  <c r="BK35" i="20"/>
  <c r="BN35" i="20"/>
  <c r="GK33" i="28"/>
  <c r="IS33" i="28"/>
  <c r="GZ33" i="28"/>
  <c r="FG33" i="28"/>
  <c r="ID33" i="28"/>
  <c r="FV33" i="28"/>
  <c r="HO33" i="28"/>
  <c r="IE33" i="28"/>
  <c r="FW33" i="28"/>
  <c r="GL33" i="28"/>
  <c r="HA33" i="28"/>
  <c r="IT33" i="28"/>
  <c r="FH33" i="28"/>
  <c r="HP33" i="28"/>
  <c r="CT33" i="28"/>
  <c r="DU33" i="28"/>
  <c r="CR35" i="28"/>
  <c r="DW35" i="28"/>
  <c r="EO35" i="28" s="1"/>
  <c r="EP35" i="28"/>
  <c r="DV34" i="28"/>
  <c r="EN34" i="28" s="1"/>
  <c r="CS34" i="28"/>
  <c r="EO34" i="28"/>
  <c r="FG147" i="28"/>
  <c r="FA144" i="28"/>
  <c r="FF146" i="28"/>
  <c r="GK32" i="28"/>
  <c r="FV32" i="28"/>
  <c r="GZ32" i="28"/>
  <c r="IS32" i="28"/>
  <c r="FG32" i="28"/>
  <c r="HO32" i="28"/>
  <c r="ID32" i="28"/>
  <c r="GY31" i="28"/>
  <c r="IC31" i="28"/>
  <c r="FU31" i="28"/>
  <c r="HN31" i="28"/>
  <c r="FF31" i="28"/>
  <c r="IR31" i="28"/>
  <c r="GJ31" i="28"/>
  <c r="JT28" i="28"/>
  <c r="JU28" i="28" s="1"/>
  <c r="CT32" i="28"/>
  <c r="DU32" i="28"/>
  <c r="EM32" i="28" s="1"/>
  <c r="DS30" i="28"/>
  <c r="CV30" i="28"/>
  <c r="DB27" i="28"/>
  <c r="DA27" i="28"/>
  <c r="DP27" i="28" s="1"/>
  <c r="EH27" i="28" s="1"/>
  <c r="FT30" i="28"/>
  <c r="GX30" i="28"/>
  <c r="GT30" i="28" s="1"/>
  <c r="FE30" i="28"/>
  <c r="GI30" i="28"/>
  <c r="IQ30" i="28"/>
  <c r="IM30" i="28" s="1"/>
  <c r="HM30" i="28"/>
  <c r="HI30" i="28" s="1"/>
  <c r="IB30" i="28"/>
  <c r="HX30" i="28" s="1"/>
  <c r="EE24" i="28"/>
  <c r="EJ28" i="28"/>
  <c r="DE25" i="28"/>
  <c r="DN25" i="28" s="1"/>
  <c r="EF25" i="28" s="1"/>
  <c r="DF25" i="28"/>
  <c r="DG25" i="28" s="1"/>
  <c r="DM25" i="28" s="1"/>
  <c r="DD26" i="28"/>
  <c r="DC26" i="28"/>
  <c r="DO26" i="28" s="1"/>
  <c r="EG26" i="28" s="1"/>
  <c r="GI29" i="28"/>
  <c r="GE29" i="28" s="1"/>
  <c r="FE29" i="28"/>
  <c r="FA29" i="28" s="1"/>
  <c r="GX29" i="28"/>
  <c r="GT29" i="28" s="1"/>
  <c r="JN29" i="28" s="1"/>
  <c r="JO29" i="28" s="1"/>
  <c r="IQ29" i="28"/>
  <c r="IM29" i="28" s="1"/>
  <c r="FT29" i="28"/>
  <c r="FP29" i="28" s="1"/>
  <c r="HM29" i="28"/>
  <c r="HI29" i="28" s="1"/>
  <c r="JP29" i="28" s="1"/>
  <c r="JQ29" i="28" s="1"/>
  <c r="IB29" i="28"/>
  <c r="HX29" i="28" s="1"/>
  <c r="JR29" i="28" s="1"/>
  <c r="JS29" i="28" s="1"/>
  <c r="CZ28" i="28"/>
  <c r="CY28" i="28"/>
  <c r="DQ28" i="28" s="1"/>
  <c r="EI28" i="28" s="1"/>
  <c r="FH32" i="28"/>
  <c r="FW32" i="28"/>
  <c r="IT32" i="28"/>
  <c r="IE32" i="28"/>
  <c r="HP32" i="28"/>
  <c r="HA32" i="28"/>
  <c r="GL32" i="28"/>
  <c r="EG25" i="28"/>
  <c r="EH26" i="28"/>
  <c r="EI27" i="28"/>
  <c r="CX29" i="28"/>
  <c r="CW29" i="28"/>
  <c r="DR29" i="28" s="1"/>
  <c r="EF24" i="28"/>
  <c r="JS29" i="20"/>
  <c r="JR30" i="20"/>
  <c r="DT31" i="28"/>
  <c r="CU31" i="28"/>
  <c r="FC30" i="28"/>
  <c r="CF30" i="28"/>
  <c r="BY30" i="28"/>
  <c r="FR30" i="28"/>
  <c r="CH30" i="28"/>
  <c r="CG30" i="28"/>
  <c r="CC31" i="28"/>
  <c r="HZ31" i="28"/>
  <c r="BO31" i="28"/>
  <c r="BM32" i="28"/>
  <c r="GV31" i="28"/>
  <c r="BI33" i="28"/>
  <c r="BK32" i="28"/>
  <c r="BQ33" i="28"/>
  <c r="BS32" i="28"/>
  <c r="CD31" i="28"/>
  <c r="BA33" i="28"/>
  <c r="BC32" i="28"/>
  <c r="CE31" i="28"/>
  <c r="JH29" i="20"/>
  <c r="JI29" i="20" s="1"/>
  <c r="BU33" i="20"/>
  <c r="BW32" i="20"/>
  <c r="FC145" i="28"/>
  <c r="HZ31" i="20"/>
  <c r="HX31" i="20" s="1"/>
  <c r="JP31" i="20" s="1"/>
  <c r="JQ31" i="20" s="1"/>
  <c r="HK31" i="20"/>
  <c r="HI31" i="20" s="1"/>
  <c r="JN31" i="20" s="1"/>
  <c r="JO31" i="20" s="1"/>
  <c r="GV31" i="20"/>
  <c r="GT31" i="20" s="1"/>
  <c r="JL31" i="20" s="1"/>
  <c r="JM31" i="20" s="1"/>
  <c r="CC31" i="20"/>
  <c r="CE31" i="20"/>
  <c r="CD31" i="20"/>
  <c r="CW31" i="20"/>
  <c r="DR31" i="20" s="1"/>
  <c r="CY31" i="20"/>
  <c r="DQ31" i="20" s="1"/>
  <c r="DA31" i="20"/>
  <c r="DP31" i="20" s="1"/>
  <c r="EH30" i="20"/>
  <c r="BG33" i="20"/>
  <c r="BF34" i="20"/>
  <c r="BA33" i="20"/>
  <c r="BC32" i="20"/>
  <c r="EI30" i="20"/>
  <c r="FA145" i="20"/>
  <c r="BY33" i="35" l="1"/>
  <c r="FC33" i="35"/>
  <c r="CE33" i="35"/>
  <c r="CD33" i="35"/>
  <c r="BQ36" i="35"/>
  <c r="BS35" i="35"/>
  <c r="CH33" i="35"/>
  <c r="CG33" i="35"/>
  <c r="GV33" i="35"/>
  <c r="FR33" i="35"/>
  <c r="CF33" i="35"/>
  <c r="BJ38" i="35"/>
  <c r="BK37" i="35"/>
  <c r="BB36" i="35"/>
  <c r="BC35" i="35"/>
  <c r="HK33" i="35"/>
  <c r="BO35" i="35"/>
  <c r="BN36" i="35"/>
  <c r="CC34" i="35"/>
  <c r="HZ34" i="35"/>
  <c r="BV36" i="35"/>
  <c r="BW35" i="35"/>
  <c r="BE35" i="35"/>
  <c r="BG34" i="35"/>
  <c r="BY34" i="35" s="1"/>
  <c r="BF38" i="35"/>
  <c r="FK155" i="20"/>
  <c r="FE149" i="20"/>
  <c r="FJ154" i="20"/>
  <c r="FJ153" i="20"/>
  <c r="FI153" i="20"/>
  <c r="FH151" i="20"/>
  <c r="FG151" i="20"/>
  <c r="FF149" i="20"/>
  <c r="FC146" i="28"/>
  <c r="FD148" i="20"/>
  <c r="CX33" i="20"/>
  <c r="CZ33" i="20" s="1"/>
  <c r="DB33" i="20" s="1"/>
  <c r="DD33" i="20" s="1"/>
  <c r="DF33" i="20" s="1"/>
  <c r="FG149" i="35"/>
  <c r="IZ32" i="20"/>
  <c r="FK153" i="35"/>
  <c r="FF148" i="35"/>
  <c r="FF146" i="35"/>
  <c r="FI151" i="35"/>
  <c r="FD154" i="35"/>
  <c r="BD34" i="20"/>
  <c r="BX33" i="20"/>
  <c r="HL33" i="20"/>
  <c r="GW33" i="20"/>
  <c r="FD33" i="20"/>
  <c r="FS33" i="20"/>
  <c r="GH33" i="20"/>
  <c r="GZ34" i="35"/>
  <c r="GK34" i="35"/>
  <c r="IS34" i="35"/>
  <c r="ID34" i="35"/>
  <c r="FG34" i="35"/>
  <c r="HO34" i="35"/>
  <c r="FV34" i="35"/>
  <c r="GI34" i="20"/>
  <c r="FE34" i="20"/>
  <c r="HM34" i="20"/>
  <c r="IB34" i="20"/>
  <c r="FT34" i="20"/>
  <c r="IQ34" i="20"/>
  <c r="GX34" i="20"/>
  <c r="DT35" i="20"/>
  <c r="EL35" i="20" s="1"/>
  <c r="CU35" i="20"/>
  <c r="DZ39" i="35"/>
  <c r="ER39" i="35" s="1"/>
  <c r="CO39" i="35"/>
  <c r="EO37" i="20"/>
  <c r="DS34" i="20"/>
  <c r="EK34" i="20" s="1"/>
  <c r="CV34" i="20"/>
  <c r="CQ37" i="35"/>
  <c r="DX37" i="35"/>
  <c r="CN40" i="35"/>
  <c r="O9" i="35"/>
  <c r="O10" i="35" s="1"/>
  <c r="CB40" i="35"/>
  <c r="CB44" i="35" s="1"/>
  <c r="CB46" i="35" s="1"/>
  <c r="AP42" i="35"/>
  <c r="CB42" i="35" s="1"/>
  <c r="IM33" i="20"/>
  <c r="IZ33" i="20" s="1"/>
  <c r="CS37" i="20"/>
  <c r="DV37" i="20"/>
  <c r="EN37" i="20" s="1"/>
  <c r="HC39" i="20"/>
  <c r="GN39" i="20"/>
  <c r="IG39" i="20"/>
  <c r="HR39" i="20"/>
  <c r="FJ39" i="20"/>
  <c r="FY39" i="20"/>
  <c r="IV39" i="20"/>
  <c r="EM35" i="20"/>
  <c r="HN33" i="35"/>
  <c r="GY33" i="35"/>
  <c r="FF33" i="35"/>
  <c r="IR33" i="35"/>
  <c r="FU33" i="35"/>
  <c r="IC33" i="35"/>
  <c r="GJ33" i="35"/>
  <c r="HA36" i="20"/>
  <c r="HP36" i="20"/>
  <c r="IT36" i="20"/>
  <c r="IE36" i="20"/>
  <c r="FH36" i="20"/>
  <c r="GL36" i="20"/>
  <c r="FW36" i="20"/>
  <c r="IB32" i="35"/>
  <c r="HX32" i="35" s="1"/>
  <c r="GI32" i="35"/>
  <c r="GE32" i="35" s="1"/>
  <c r="IQ32" i="35"/>
  <c r="IM32" i="35" s="1"/>
  <c r="FE32" i="35"/>
  <c r="FA32" i="35" s="1"/>
  <c r="HM32" i="35"/>
  <c r="HI32" i="35" s="1"/>
  <c r="FT32" i="35"/>
  <c r="GX32" i="35"/>
  <c r="GT32" i="35" s="1"/>
  <c r="FE147" i="35"/>
  <c r="FP31" i="35"/>
  <c r="FA147" i="35" s="1"/>
  <c r="D70" i="34" s="1"/>
  <c r="HP34" i="35"/>
  <c r="IT34" i="35"/>
  <c r="HA34" i="35"/>
  <c r="IE34" i="35"/>
  <c r="FW34" i="35"/>
  <c r="FH34" i="35"/>
  <c r="GL34" i="35"/>
  <c r="HC36" i="35"/>
  <c r="GN36" i="35"/>
  <c r="FY36" i="35"/>
  <c r="IG36" i="35"/>
  <c r="HR36" i="35"/>
  <c r="IV36" i="35"/>
  <c r="FJ36" i="35"/>
  <c r="DX39" i="20"/>
  <c r="EP39" i="20" s="1"/>
  <c r="CQ39" i="20"/>
  <c r="CT36" i="20"/>
  <c r="DU36" i="20"/>
  <c r="DT33" i="35"/>
  <c r="EL33" i="35" s="1"/>
  <c r="CU33" i="35"/>
  <c r="DS32" i="35"/>
  <c r="CV32" i="35"/>
  <c r="ER38" i="35"/>
  <c r="CX31" i="35"/>
  <c r="CW31" i="35"/>
  <c r="DR31" i="35" s="1"/>
  <c r="EJ31" i="35" s="1"/>
  <c r="HA35" i="35"/>
  <c r="IE35" i="35"/>
  <c r="GL35" i="35"/>
  <c r="FW35" i="35"/>
  <c r="HP35" i="35"/>
  <c r="FH35" i="35"/>
  <c r="IT35" i="35"/>
  <c r="DY40" i="20"/>
  <c r="EQ40" i="20" s="1"/>
  <c r="CP40" i="20"/>
  <c r="DW38" i="20"/>
  <c r="EO38" i="20" s="1"/>
  <c r="CR38" i="20"/>
  <c r="ID36" i="20"/>
  <c r="FV36" i="20"/>
  <c r="HO36" i="20"/>
  <c r="GK36" i="20"/>
  <c r="IS36" i="20"/>
  <c r="FG36" i="20"/>
  <c r="GZ36" i="20"/>
  <c r="CR36" i="35"/>
  <c r="DW36" i="35"/>
  <c r="EO36" i="35" s="1"/>
  <c r="CP38" i="35"/>
  <c r="DY38" i="35"/>
  <c r="EQ38" i="35" s="1"/>
  <c r="EK31" i="35"/>
  <c r="CS35" i="35"/>
  <c r="DV35" i="35"/>
  <c r="EN35" i="35" s="1"/>
  <c r="GJ34" i="20"/>
  <c r="IR34" i="20"/>
  <c r="IC34" i="20"/>
  <c r="HN34" i="20"/>
  <c r="GY34" i="20"/>
  <c r="FU34" i="20"/>
  <c r="FF34" i="20"/>
  <c r="FK40" i="20"/>
  <c r="FZ40" i="20"/>
  <c r="GO40" i="20"/>
  <c r="IH40" i="20"/>
  <c r="HD40" i="20"/>
  <c r="IW40" i="20"/>
  <c r="HS40" i="20"/>
  <c r="EP36" i="35"/>
  <c r="EP38" i="20"/>
  <c r="CT34" i="35"/>
  <c r="DU34" i="35"/>
  <c r="HC37" i="35"/>
  <c r="HR37" i="35"/>
  <c r="IG37" i="35"/>
  <c r="IV37" i="35"/>
  <c r="FJ37" i="35"/>
  <c r="FY37" i="35"/>
  <c r="GN37" i="35"/>
  <c r="JJ29" i="20"/>
  <c r="JK29" i="20" s="1"/>
  <c r="JA29" i="20" s="1"/>
  <c r="GG31" i="20"/>
  <c r="GE31" i="20" s="1"/>
  <c r="FR31" i="20"/>
  <c r="FP31" i="20" s="1"/>
  <c r="DE31" i="20"/>
  <c r="DN31" i="20" s="1"/>
  <c r="FC31" i="20"/>
  <c r="FA31" i="20" s="1"/>
  <c r="JF31" i="20" s="1"/>
  <c r="JG31" i="20" s="1"/>
  <c r="JL28" i="28"/>
  <c r="JM28" i="28" s="1"/>
  <c r="JB28" i="28" s="1"/>
  <c r="EC24" i="35"/>
  <c r="EC29" i="20"/>
  <c r="BU38" i="35"/>
  <c r="FC146" i="20"/>
  <c r="HI30" i="35"/>
  <c r="JO30" i="35" s="1"/>
  <c r="JP30" i="35" s="1"/>
  <c r="JI28" i="35"/>
  <c r="JJ28" i="35" s="1"/>
  <c r="JA28" i="35" s="1"/>
  <c r="EE25" i="35"/>
  <c r="FA30" i="35"/>
  <c r="JG30" i="35" s="1"/>
  <c r="FP30" i="35"/>
  <c r="FE146" i="35"/>
  <c r="DB28" i="35"/>
  <c r="DA28" i="35"/>
  <c r="DP28" i="35" s="1"/>
  <c r="EG26" i="35"/>
  <c r="DF26" i="35"/>
  <c r="DG26" i="35" s="1"/>
  <c r="DM26" i="35" s="1"/>
  <c r="DE26" i="35"/>
  <c r="DN26" i="35" s="1"/>
  <c r="EF26" i="35" s="1"/>
  <c r="IM30" i="35"/>
  <c r="FA145" i="35"/>
  <c r="D68" i="34" s="1"/>
  <c r="HX30" i="35"/>
  <c r="JQ30" i="35" s="1"/>
  <c r="IZ29" i="35"/>
  <c r="JS29" i="35"/>
  <c r="JT29" i="35" s="1"/>
  <c r="DD27" i="35"/>
  <c r="DC27" i="35"/>
  <c r="DO27" i="35" s="1"/>
  <c r="CX30" i="35"/>
  <c r="CW30" i="35"/>
  <c r="DR30" i="35" s="1"/>
  <c r="EF25" i="35"/>
  <c r="EK30" i="35"/>
  <c r="GT30" i="35"/>
  <c r="GE30" i="35"/>
  <c r="JK30" i="35" s="1"/>
  <c r="CY29" i="35"/>
  <c r="DQ29" i="35" s="1"/>
  <c r="CZ29" i="35"/>
  <c r="CH31" i="20"/>
  <c r="DG31" i="20"/>
  <c r="DM31" i="20" s="1"/>
  <c r="CF31" i="20"/>
  <c r="BY31" i="20"/>
  <c r="DC31" i="20"/>
  <c r="DO31" i="20" s="1"/>
  <c r="EG31" i="20" s="1"/>
  <c r="EE30" i="20"/>
  <c r="JJ29" i="28"/>
  <c r="JK29" i="28" s="1"/>
  <c r="EF30" i="20"/>
  <c r="FK154" i="28"/>
  <c r="JH29" i="28"/>
  <c r="JI29" i="28" s="1"/>
  <c r="HQ37" i="28"/>
  <c r="HB37" i="28"/>
  <c r="FX37" i="28"/>
  <c r="GM37" i="28"/>
  <c r="IF37" i="28"/>
  <c r="IU37" i="28"/>
  <c r="FI37" i="28"/>
  <c r="FY37" i="28"/>
  <c r="FJ37" i="28"/>
  <c r="HR37" i="28"/>
  <c r="GN37" i="28"/>
  <c r="HC37" i="28"/>
  <c r="IG37" i="28"/>
  <c r="IV37" i="28"/>
  <c r="DZ40" i="28"/>
  <c r="ER40" i="28" s="1"/>
  <c r="CO40" i="28"/>
  <c r="DX38" i="28"/>
  <c r="CQ38" i="28"/>
  <c r="CR37" i="28"/>
  <c r="DW37" i="28"/>
  <c r="EO37" i="28" s="1"/>
  <c r="IG38" i="28"/>
  <c r="IV38" i="28"/>
  <c r="GN38" i="28"/>
  <c r="HC38" i="28"/>
  <c r="FJ38" i="28"/>
  <c r="HR38" i="28"/>
  <c r="FY38" i="28"/>
  <c r="HA36" i="28"/>
  <c r="FW36" i="28"/>
  <c r="HP36" i="28"/>
  <c r="FH36" i="28"/>
  <c r="IE36" i="28"/>
  <c r="GL36" i="28"/>
  <c r="IT36" i="28"/>
  <c r="DY39" i="28"/>
  <c r="CP39" i="28"/>
  <c r="GM36" i="28"/>
  <c r="FI36" i="28"/>
  <c r="IU36" i="28"/>
  <c r="HQ36" i="28"/>
  <c r="IF36" i="28"/>
  <c r="HB36" i="28"/>
  <c r="FX36" i="28"/>
  <c r="FK39" i="28"/>
  <c r="GO39" i="28"/>
  <c r="FZ39" i="28"/>
  <c r="HS39" i="28"/>
  <c r="IW39" i="28"/>
  <c r="IH39" i="28"/>
  <c r="HD39" i="28"/>
  <c r="DV36" i="28"/>
  <c r="EN36" i="28" s="1"/>
  <c r="CS36" i="28"/>
  <c r="CB42" i="28"/>
  <c r="CC42" i="28"/>
  <c r="GH39" i="35"/>
  <c r="GW39" i="35"/>
  <c r="IA39" i="35"/>
  <c r="HL39" i="35"/>
  <c r="BM33" i="20"/>
  <c r="BO32" i="20"/>
  <c r="BY32" i="20" s="1"/>
  <c r="FS39" i="35"/>
  <c r="FD39" i="35"/>
  <c r="AZ40" i="35"/>
  <c r="BX39" i="35"/>
  <c r="BG35" i="28"/>
  <c r="BF36" i="28"/>
  <c r="BW35" i="28"/>
  <c r="BV36" i="28"/>
  <c r="FH149" i="28"/>
  <c r="BN36" i="20"/>
  <c r="BJ37" i="20"/>
  <c r="BK36" i="20"/>
  <c r="BR39" i="20"/>
  <c r="BS38" i="20"/>
  <c r="BG34" i="20"/>
  <c r="BF35" i="20"/>
  <c r="GZ34" i="28"/>
  <c r="FG34" i="28"/>
  <c r="HO34" i="28"/>
  <c r="FV34" i="28"/>
  <c r="GK34" i="28"/>
  <c r="ID34" i="28"/>
  <c r="IS34" i="28"/>
  <c r="EM33" i="28"/>
  <c r="HP34" i="28"/>
  <c r="HA34" i="28"/>
  <c r="IT34" i="28"/>
  <c r="FH34" i="28"/>
  <c r="GL34" i="28"/>
  <c r="IE34" i="28"/>
  <c r="FW34" i="28"/>
  <c r="DT33" i="28"/>
  <c r="CU33" i="28"/>
  <c r="DU34" i="28"/>
  <c r="CT34" i="28"/>
  <c r="FW35" i="28"/>
  <c r="GL35" i="28"/>
  <c r="IE35" i="28"/>
  <c r="HA35" i="28"/>
  <c r="FH35" i="28"/>
  <c r="HP35" i="28"/>
  <c r="IT35" i="28"/>
  <c r="FX35" i="28"/>
  <c r="HQ35" i="28"/>
  <c r="GM35" i="28"/>
  <c r="FI35" i="28"/>
  <c r="HB35" i="28"/>
  <c r="IF35" i="28"/>
  <c r="IU35" i="28"/>
  <c r="DV35" i="28"/>
  <c r="EN35" i="28" s="1"/>
  <c r="CS35" i="28"/>
  <c r="FG149" i="28"/>
  <c r="FF147" i="28"/>
  <c r="FH148" i="28"/>
  <c r="FG148" i="28"/>
  <c r="FE145" i="28"/>
  <c r="FE146" i="28"/>
  <c r="GE30" i="28"/>
  <c r="JT29" i="28"/>
  <c r="JU29" i="28" s="1"/>
  <c r="FP30" i="28"/>
  <c r="JN30" i="28"/>
  <c r="JO30" i="28" s="1"/>
  <c r="JR30" i="28"/>
  <c r="JS30" i="28" s="1"/>
  <c r="EE25" i="28"/>
  <c r="EC25" i="28" s="1"/>
  <c r="CZ29" i="28"/>
  <c r="CY29" i="28"/>
  <c r="DQ29" i="28" s="1"/>
  <c r="EI29" i="28" s="1"/>
  <c r="CX30" i="28"/>
  <c r="CW30" i="28"/>
  <c r="DR30" i="28" s="1"/>
  <c r="JA29" i="28"/>
  <c r="JA30" i="28" s="1"/>
  <c r="FA30" i="28"/>
  <c r="EK30" i="28"/>
  <c r="JS30" i="20"/>
  <c r="JR31" i="20"/>
  <c r="DT32" i="28"/>
  <c r="CU32" i="28"/>
  <c r="DS31" i="28"/>
  <c r="EK31" i="28" s="1"/>
  <c r="CV31" i="28"/>
  <c r="IC32" i="28"/>
  <c r="FU32" i="28"/>
  <c r="GY32" i="28"/>
  <c r="HN32" i="28"/>
  <c r="IR32" i="28"/>
  <c r="GJ32" i="28"/>
  <c r="FF32" i="28"/>
  <c r="DB28" i="28"/>
  <c r="DA28" i="28"/>
  <c r="DP28" i="28" s="1"/>
  <c r="EH28" i="28" s="1"/>
  <c r="EC24" i="28"/>
  <c r="DF26" i="28"/>
  <c r="DG26" i="28" s="1"/>
  <c r="DM26" i="28" s="1"/>
  <c r="DE26" i="28"/>
  <c r="DN26" i="28" s="1"/>
  <c r="EL31" i="28"/>
  <c r="EJ29" i="28"/>
  <c r="JP30" i="28"/>
  <c r="JQ30" i="28" s="1"/>
  <c r="DD27" i="28"/>
  <c r="DC27" i="28"/>
  <c r="DO27" i="28" s="1"/>
  <c r="BA34" i="28"/>
  <c r="BC33" i="28"/>
  <c r="HZ32" i="28"/>
  <c r="CC32" i="28"/>
  <c r="HK32" i="28"/>
  <c r="CE32" i="28"/>
  <c r="CD32" i="28"/>
  <c r="GV32" i="28"/>
  <c r="BM33" i="28"/>
  <c r="BO32" i="28"/>
  <c r="FR32" i="28" s="1"/>
  <c r="BI34" i="28"/>
  <c r="BK33" i="28"/>
  <c r="BQ34" i="28"/>
  <c r="BS33" i="28"/>
  <c r="BY31" i="28"/>
  <c r="GG31" i="28"/>
  <c r="CF31" i="28"/>
  <c r="CG31" i="28"/>
  <c r="FC31" i="28"/>
  <c r="CH31" i="28"/>
  <c r="FR31" i="28"/>
  <c r="JH30" i="20"/>
  <c r="JI30" i="20" s="1"/>
  <c r="HZ32" i="20"/>
  <c r="HX32" i="20" s="1"/>
  <c r="JP32" i="20" s="1"/>
  <c r="JQ32" i="20" s="1"/>
  <c r="HK32" i="20"/>
  <c r="HI32" i="20" s="1"/>
  <c r="JN32" i="20" s="1"/>
  <c r="JO32" i="20" s="1"/>
  <c r="GV32" i="20"/>
  <c r="GT32" i="20" s="1"/>
  <c r="JL32" i="20" s="1"/>
  <c r="JM32" i="20" s="1"/>
  <c r="CD32" i="20"/>
  <c r="CC32" i="20"/>
  <c r="CE32" i="20"/>
  <c r="CW32" i="20"/>
  <c r="DR32" i="20" s="1"/>
  <c r="CY32" i="20"/>
  <c r="DQ32" i="20" s="1"/>
  <c r="DA32" i="20"/>
  <c r="DP32" i="20" s="1"/>
  <c r="BA34" i="20"/>
  <c r="BC33" i="20"/>
  <c r="FA145" i="28"/>
  <c r="FA146" i="20"/>
  <c r="EH31" i="20"/>
  <c r="BU34" i="20"/>
  <c r="BW33" i="20"/>
  <c r="EJ31" i="20"/>
  <c r="EI31" i="20"/>
  <c r="FC149" i="35" l="1"/>
  <c r="CH34" i="35"/>
  <c r="BQ37" i="35"/>
  <c r="BS36" i="35"/>
  <c r="BN37" i="35"/>
  <c r="BO36" i="35"/>
  <c r="HK34" i="35"/>
  <c r="CF34" i="35"/>
  <c r="BV37" i="35"/>
  <c r="BW36" i="35"/>
  <c r="CE34" i="35"/>
  <c r="FR34" i="35"/>
  <c r="GV34" i="35"/>
  <c r="HZ35" i="35"/>
  <c r="CC35" i="35"/>
  <c r="CG34" i="35"/>
  <c r="CD34" i="35"/>
  <c r="BC36" i="35"/>
  <c r="BB37" i="35"/>
  <c r="FC34" i="35"/>
  <c r="GG34" i="35"/>
  <c r="BE36" i="35"/>
  <c r="BG35" i="35"/>
  <c r="CE35" i="35" s="1"/>
  <c r="BF39" i="35"/>
  <c r="BJ39" i="35"/>
  <c r="BK38" i="35"/>
  <c r="FJ155" i="20"/>
  <c r="FE150" i="20"/>
  <c r="FH152" i="20"/>
  <c r="FK156" i="20"/>
  <c r="FJ153" i="35"/>
  <c r="FG152" i="20"/>
  <c r="FF150" i="20"/>
  <c r="FD149" i="20"/>
  <c r="FC147" i="20"/>
  <c r="FF149" i="35"/>
  <c r="FG150" i="35"/>
  <c r="CX34" i="20"/>
  <c r="CZ34" i="20" s="1"/>
  <c r="DB34" i="20" s="1"/>
  <c r="DD34" i="20" s="1"/>
  <c r="DF34" i="20" s="1"/>
  <c r="FD155" i="35"/>
  <c r="FH150" i="35"/>
  <c r="FJ152" i="35"/>
  <c r="FH151" i="35"/>
  <c r="BD35" i="20"/>
  <c r="HL34" i="20"/>
  <c r="GW34" i="20"/>
  <c r="FD34" i="20"/>
  <c r="GH34" i="20"/>
  <c r="FS34" i="20"/>
  <c r="BX34" i="20"/>
  <c r="IB35" i="20"/>
  <c r="FT35" i="20"/>
  <c r="GX35" i="20"/>
  <c r="FE35" i="20"/>
  <c r="GI35" i="20"/>
  <c r="HM35" i="20"/>
  <c r="IQ35" i="20"/>
  <c r="FG37" i="20"/>
  <c r="HO37" i="20"/>
  <c r="GK37" i="20"/>
  <c r="ID37" i="20"/>
  <c r="FV37" i="20"/>
  <c r="GZ37" i="20"/>
  <c r="IS37" i="20"/>
  <c r="GN38" i="35"/>
  <c r="IG38" i="35"/>
  <c r="HC38" i="35"/>
  <c r="FJ38" i="35"/>
  <c r="IV38" i="35"/>
  <c r="FY38" i="35"/>
  <c r="HR38" i="35"/>
  <c r="GL36" i="35"/>
  <c r="HP36" i="35"/>
  <c r="FH36" i="35"/>
  <c r="IT36" i="35"/>
  <c r="FW36" i="35"/>
  <c r="HA36" i="35"/>
  <c r="IE36" i="35"/>
  <c r="IH38" i="35"/>
  <c r="HS38" i="35"/>
  <c r="IW38" i="35"/>
  <c r="GO38" i="35"/>
  <c r="HD38" i="35"/>
  <c r="FK38" i="35"/>
  <c r="FZ38" i="35"/>
  <c r="CT37" i="20"/>
  <c r="DU37" i="20"/>
  <c r="FI39" i="20"/>
  <c r="HB39" i="20"/>
  <c r="IF39" i="20"/>
  <c r="IU39" i="20"/>
  <c r="HQ39" i="20"/>
  <c r="GM39" i="20"/>
  <c r="FX39" i="20"/>
  <c r="GZ35" i="35"/>
  <c r="ID35" i="35"/>
  <c r="IS35" i="35"/>
  <c r="FV35" i="35"/>
  <c r="GK35" i="35"/>
  <c r="FG35" i="35"/>
  <c r="HO35" i="35"/>
  <c r="DV38" i="20"/>
  <c r="CS38" i="20"/>
  <c r="EK32" i="35"/>
  <c r="FE148" i="35"/>
  <c r="FP32" i="35"/>
  <c r="FA148" i="35" s="1"/>
  <c r="D71" i="34" s="1"/>
  <c r="FF35" i="20"/>
  <c r="IR35" i="20"/>
  <c r="IC35" i="20"/>
  <c r="HN35" i="20"/>
  <c r="GY35" i="20"/>
  <c r="GJ35" i="20"/>
  <c r="FU35" i="20"/>
  <c r="EM34" i="35"/>
  <c r="DU35" i="35"/>
  <c r="EM35" i="35" s="1"/>
  <c r="CT35" i="35"/>
  <c r="DS33" i="35"/>
  <c r="CV33" i="35"/>
  <c r="IM34" i="20"/>
  <c r="IZ34" i="20" s="1"/>
  <c r="DV36" i="35"/>
  <c r="EN36" i="35" s="1"/>
  <c r="CS36" i="35"/>
  <c r="CX32" i="35"/>
  <c r="CW32" i="35"/>
  <c r="DR32" i="35" s="1"/>
  <c r="DT34" i="35"/>
  <c r="EL34" i="35" s="1"/>
  <c r="CU34" i="35"/>
  <c r="DX40" i="20"/>
  <c r="CQ40" i="20"/>
  <c r="FT33" i="35"/>
  <c r="IB33" i="35"/>
  <c r="HX33" i="35" s="1"/>
  <c r="GI33" i="35"/>
  <c r="GE33" i="35" s="1"/>
  <c r="HM33" i="35"/>
  <c r="HI33" i="35" s="1"/>
  <c r="IQ33" i="35"/>
  <c r="IM33" i="35" s="1"/>
  <c r="GX33" i="35"/>
  <c r="GT33" i="35" s="1"/>
  <c r="FE33" i="35"/>
  <c r="FA33" i="35" s="1"/>
  <c r="IT37" i="20"/>
  <c r="GL37" i="20"/>
  <c r="HP37" i="20"/>
  <c r="FW37" i="20"/>
  <c r="FH37" i="20"/>
  <c r="HA37" i="20"/>
  <c r="IE37" i="20"/>
  <c r="FW38" i="20"/>
  <c r="IT38" i="20"/>
  <c r="IE38" i="20"/>
  <c r="GL38" i="20"/>
  <c r="HA38" i="20"/>
  <c r="FH38" i="20"/>
  <c r="HP38" i="20"/>
  <c r="HC40" i="20"/>
  <c r="FY40" i="20"/>
  <c r="GN40" i="20"/>
  <c r="IV40" i="20"/>
  <c r="FJ40" i="20"/>
  <c r="IG40" i="20"/>
  <c r="HR40" i="20"/>
  <c r="EM36" i="20"/>
  <c r="CP39" i="35"/>
  <c r="DY39" i="35"/>
  <c r="EQ39" i="35" s="1"/>
  <c r="CR37" i="35"/>
  <c r="DW37" i="35"/>
  <c r="EO37" i="35" s="1"/>
  <c r="GM38" i="20"/>
  <c r="IF38" i="20"/>
  <c r="HQ38" i="20"/>
  <c r="FI38" i="20"/>
  <c r="FX38" i="20"/>
  <c r="IU38" i="20"/>
  <c r="HB38" i="20"/>
  <c r="CZ31" i="35"/>
  <c r="CY31" i="35"/>
  <c r="DQ31" i="35" s="1"/>
  <c r="EI31" i="35" s="1"/>
  <c r="DT36" i="20"/>
  <c r="EL36" i="20" s="1"/>
  <c r="CU36" i="20"/>
  <c r="DZ40" i="35"/>
  <c r="ER40" i="35" s="1"/>
  <c r="CO40" i="35"/>
  <c r="IH39" i="35"/>
  <c r="HD39" i="35"/>
  <c r="HS39" i="35"/>
  <c r="IW39" i="35"/>
  <c r="FZ39" i="35"/>
  <c r="FK39" i="35"/>
  <c r="GO39" i="35"/>
  <c r="HQ36" i="35"/>
  <c r="FX36" i="35"/>
  <c r="IU36" i="35"/>
  <c r="GM36" i="35"/>
  <c r="HB36" i="35"/>
  <c r="IF36" i="35"/>
  <c r="FI36" i="35"/>
  <c r="DX38" i="35"/>
  <c r="EP38" i="35" s="1"/>
  <c r="CQ38" i="35"/>
  <c r="DW39" i="20"/>
  <c r="EO39" i="20" s="1"/>
  <c r="CR39" i="20"/>
  <c r="EP37" i="35"/>
  <c r="DS35" i="20"/>
  <c r="EK35" i="20" s="1"/>
  <c r="CV35" i="20"/>
  <c r="JJ30" i="20"/>
  <c r="JK30" i="20" s="1"/>
  <c r="JA30" i="20" s="1"/>
  <c r="JL29" i="28"/>
  <c r="JM29" i="28" s="1"/>
  <c r="EE31" i="20"/>
  <c r="EF31" i="20"/>
  <c r="JO31" i="35"/>
  <c r="JP31" i="35" s="1"/>
  <c r="BU39" i="35"/>
  <c r="EC25" i="35"/>
  <c r="JI29" i="35"/>
  <c r="JJ29" i="35" s="1"/>
  <c r="JA29" i="35" s="1"/>
  <c r="JR30" i="35"/>
  <c r="JQ31" i="35"/>
  <c r="DA29" i="35"/>
  <c r="DP29" i="35" s="1"/>
  <c r="EH29" i="35" s="1"/>
  <c r="DB29" i="35"/>
  <c r="CZ30" i="35"/>
  <c r="CY30" i="35"/>
  <c r="DQ30" i="35" s="1"/>
  <c r="IZ30" i="35"/>
  <c r="IZ31" i="35" s="1"/>
  <c r="IZ32" i="35" s="1"/>
  <c r="JS30" i="35"/>
  <c r="EH28" i="35"/>
  <c r="EI29" i="35"/>
  <c r="EG27" i="35"/>
  <c r="EE26" i="35"/>
  <c r="EC26" i="35" s="1"/>
  <c r="DD28" i="35"/>
  <c r="DC28" i="35"/>
  <c r="DO28" i="35" s="1"/>
  <c r="EG28" i="35" s="1"/>
  <c r="EC30" i="20"/>
  <c r="JL30" i="35"/>
  <c r="JK31" i="35"/>
  <c r="DF27" i="35"/>
  <c r="DG27" i="35" s="1"/>
  <c r="DM27" i="35" s="1"/>
  <c r="DE27" i="35"/>
  <c r="DN27" i="35" s="1"/>
  <c r="FA146" i="35"/>
  <c r="D69" i="34" s="1"/>
  <c r="JM30" i="35"/>
  <c r="EJ30" i="35"/>
  <c r="JH30" i="35"/>
  <c r="JG31" i="35"/>
  <c r="GG32" i="20"/>
  <c r="FR32" i="20"/>
  <c r="FP32" i="20" s="1"/>
  <c r="CF32" i="20"/>
  <c r="CH32" i="20"/>
  <c r="JB29" i="28"/>
  <c r="JJ30" i="28"/>
  <c r="JK30" i="28" s="1"/>
  <c r="FK155" i="28"/>
  <c r="FH152" i="28"/>
  <c r="FI152" i="28"/>
  <c r="FI153" i="28"/>
  <c r="FJ153" i="28"/>
  <c r="FJ154" i="28"/>
  <c r="DC32" i="20"/>
  <c r="DO32" i="20" s="1"/>
  <c r="EG32" i="20" s="1"/>
  <c r="CG32" i="20"/>
  <c r="FC32" i="20"/>
  <c r="FA32" i="20" s="1"/>
  <c r="JF32" i="20" s="1"/>
  <c r="JG32" i="20" s="1"/>
  <c r="DG32" i="20"/>
  <c r="DM32" i="20" s="1"/>
  <c r="DE32" i="20"/>
  <c r="DN32" i="20" s="1"/>
  <c r="JH30" i="28"/>
  <c r="JI30" i="28" s="1"/>
  <c r="FH150" i="28"/>
  <c r="CP40" i="28"/>
  <c r="DY40" i="28"/>
  <c r="EQ40" i="28" s="1"/>
  <c r="HS40" i="28"/>
  <c r="GO40" i="28"/>
  <c r="FZ40" i="28"/>
  <c r="IW40" i="28"/>
  <c r="HD40" i="28"/>
  <c r="IH40" i="28"/>
  <c r="FK40" i="28"/>
  <c r="DU36" i="28"/>
  <c r="CT36" i="28"/>
  <c r="CQ39" i="28"/>
  <c r="DX39" i="28"/>
  <c r="EP39" i="28" s="1"/>
  <c r="HA37" i="28"/>
  <c r="IE37" i="28"/>
  <c r="GL37" i="28"/>
  <c r="FH37" i="28"/>
  <c r="FW37" i="28"/>
  <c r="IT37" i="28"/>
  <c r="HP37" i="28"/>
  <c r="FG36" i="28"/>
  <c r="HO36" i="28"/>
  <c r="FV36" i="28"/>
  <c r="GK36" i="28"/>
  <c r="ID36" i="28"/>
  <c r="GZ36" i="28"/>
  <c r="IS36" i="28"/>
  <c r="EQ39" i="28"/>
  <c r="CS37" i="28"/>
  <c r="DV37" i="28"/>
  <c r="DW38" i="28"/>
  <c r="EO38" i="28" s="1"/>
  <c r="CR38" i="28"/>
  <c r="EP38" i="28"/>
  <c r="HL40" i="35"/>
  <c r="GW40" i="35"/>
  <c r="GH40" i="35"/>
  <c r="IA40" i="35"/>
  <c r="BM34" i="20"/>
  <c r="BO33" i="20"/>
  <c r="GG33" i="20" s="1"/>
  <c r="FS40" i="35"/>
  <c r="FD40" i="35"/>
  <c r="AA9" i="35"/>
  <c r="BX40" i="35"/>
  <c r="AZ42" i="35"/>
  <c r="CC42" i="35" s="1"/>
  <c r="BW36" i="28"/>
  <c r="BV37" i="28"/>
  <c r="BG36" i="28"/>
  <c r="BF37" i="28"/>
  <c r="FI151" i="28"/>
  <c r="FG150" i="28"/>
  <c r="BJ38" i="20"/>
  <c r="BK37" i="20"/>
  <c r="BF36" i="20"/>
  <c r="BG35" i="20"/>
  <c r="BN37" i="20"/>
  <c r="BR40" i="20"/>
  <c r="BS40" i="20" s="1"/>
  <c r="BS39" i="20"/>
  <c r="FH151" i="28"/>
  <c r="FF33" i="28"/>
  <c r="GY33" i="28"/>
  <c r="FU33" i="28"/>
  <c r="IC33" i="28"/>
  <c r="GJ33" i="28"/>
  <c r="HN33" i="28"/>
  <c r="IR33" i="28"/>
  <c r="CT35" i="28"/>
  <c r="DU35" i="28"/>
  <c r="DT34" i="28"/>
  <c r="EL34" i="28" s="1"/>
  <c r="CU34" i="28"/>
  <c r="IS35" i="28"/>
  <c r="FG35" i="28"/>
  <c r="GZ35" i="28"/>
  <c r="HO35" i="28"/>
  <c r="FV35" i="28"/>
  <c r="GK35" i="28"/>
  <c r="ID35" i="28"/>
  <c r="EM34" i="28"/>
  <c r="DS33" i="28"/>
  <c r="EK33" i="28" s="1"/>
  <c r="CV33" i="28"/>
  <c r="CX33" i="28" s="1"/>
  <c r="CZ33" i="28" s="1"/>
  <c r="DB33" i="28" s="1"/>
  <c r="DD33" i="28" s="1"/>
  <c r="DF33" i="28" s="1"/>
  <c r="EL33" i="28"/>
  <c r="FA146" i="28"/>
  <c r="FF148" i="28"/>
  <c r="JT30" i="28"/>
  <c r="JU30" i="28" s="1"/>
  <c r="EF26" i="28"/>
  <c r="EE26" i="28"/>
  <c r="DS32" i="28"/>
  <c r="EK32" i="28" s="1"/>
  <c r="CV32" i="28"/>
  <c r="DF27" i="28"/>
  <c r="DG27" i="28" s="1"/>
  <c r="DM27" i="28" s="1"/>
  <c r="DE27" i="28"/>
  <c r="DN27" i="28" s="1"/>
  <c r="EL32" i="28"/>
  <c r="JS31" i="20"/>
  <c r="JR32" i="20"/>
  <c r="CZ30" i="28"/>
  <c r="CY30" i="28"/>
  <c r="DQ30" i="28" s="1"/>
  <c r="EI30" i="28" s="1"/>
  <c r="DD28" i="28"/>
  <c r="DC28" i="28"/>
  <c r="DO28" i="28" s="1"/>
  <c r="EJ30" i="28"/>
  <c r="FT31" i="28"/>
  <c r="FP31" i="28" s="1"/>
  <c r="HM31" i="28"/>
  <c r="HI31" i="28" s="1"/>
  <c r="JP31" i="28" s="1"/>
  <c r="JQ31" i="28" s="1"/>
  <c r="FE31" i="28"/>
  <c r="FA31" i="28" s="1"/>
  <c r="GI31" i="28"/>
  <c r="IB31" i="28"/>
  <c r="HX31" i="28" s="1"/>
  <c r="JR31" i="28" s="1"/>
  <c r="JS31" i="28" s="1"/>
  <c r="GX31" i="28"/>
  <c r="GT31" i="28" s="1"/>
  <c r="JN31" i="28" s="1"/>
  <c r="JO31" i="28" s="1"/>
  <c r="IQ31" i="28"/>
  <c r="IM31" i="28" s="1"/>
  <c r="CX31" i="28"/>
  <c r="CW31" i="28"/>
  <c r="DR31" i="28" s="1"/>
  <c r="EG27" i="28"/>
  <c r="DB29" i="28"/>
  <c r="DA29" i="28"/>
  <c r="DP29" i="28" s="1"/>
  <c r="EH29" i="28" s="1"/>
  <c r="GG32" i="28"/>
  <c r="CH32" i="28"/>
  <c r="BY32" i="28"/>
  <c r="FC32" i="28"/>
  <c r="CC33" i="28"/>
  <c r="HZ33" i="28"/>
  <c r="GV33" i="28"/>
  <c r="CE33" i="28"/>
  <c r="HK33" i="28"/>
  <c r="CD33" i="28"/>
  <c r="BA35" i="28"/>
  <c r="BC34" i="28"/>
  <c r="BQ35" i="28"/>
  <c r="BS34" i="28"/>
  <c r="BM34" i="28"/>
  <c r="BO33" i="28"/>
  <c r="CF33" i="28" s="1"/>
  <c r="BI35" i="28"/>
  <c r="BK34" i="28"/>
  <c r="CG32" i="28"/>
  <c r="FC147" i="28"/>
  <c r="CF32" i="28"/>
  <c r="JH31" i="20"/>
  <c r="JI31" i="20" s="1"/>
  <c r="HZ33" i="20"/>
  <c r="HX33" i="20" s="1"/>
  <c r="JP33" i="20" s="1"/>
  <c r="JQ33" i="20" s="1"/>
  <c r="HK33" i="20"/>
  <c r="HI33" i="20" s="1"/>
  <c r="JN33" i="20" s="1"/>
  <c r="JO33" i="20" s="1"/>
  <c r="GV33" i="20"/>
  <c r="GT33" i="20" s="1"/>
  <c r="JL33" i="20" s="1"/>
  <c r="JM33" i="20" s="1"/>
  <c r="CE33" i="20"/>
  <c r="CD33" i="20"/>
  <c r="CC33" i="20"/>
  <c r="CW33" i="20"/>
  <c r="DR33" i="20" s="1"/>
  <c r="EJ33" i="20" s="1"/>
  <c r="CY33" i="20"/>
  <c r="DQ33" i="20" s="1"/>
  <c r="DA33" i="20"/>
  <c r="DP33" i="20" s="1"/>
  <c r="BA35" i="20"/>
  <c r="BC34" i="20"/>
  <c r="EH32" i="20"/>
  <c r="BU35" i="20"/>
  <c r="BW34" i="20"/>
  <c r="FA147" i="20"/>
  <c r="EJ32" i="20"/>
  <c r="EI32" i="20"/>
  <c r="FC150" i="35" l="1"/>
  <c r="CF35" i="35"/>
  <c r="BQ38" i="35"/>
  <c r="BS37" i="35"/>
  <c r="CH35" i="35"/>
  <c r="GV35" i="35"/>
  <c r="BE37" i="35"/>
  <c r="BG36" i="35"/>
  <c r="GV36" i="35" s="1"/>
  <c r="FR35" i="35"/>
  <c r="CD35" i="35"/>
  <c r="BV38" i="35"/>
  <c r="BW37" i="35"/>
  <c r="CG35" i="35"/>
  <c r="HK35" i="35"/>
  <c r="FC35" i="35"/>
  <c r="GG35" i="35"/>
  <c r="BB38" i="35"/>
  <c r="BC37" i="35"/>
  <c r="BY35" i="35"/>
  <c r="BF40" i="35"/>
  <c r="BJ40" i="35"/>
  <c r="BK40" i="35" s="1"/>
  <c r="AF9" i="35" s="1"/>
  <c r="BK39" i="35"/>
  <c r="CC36" i="35"/>
  <c r="HZ36" i="35"/>
  <c r="BN38" i="35"/>
  <c r="BO37" i="35"/>
  <c r="FD150" i="20"/>
  <c r="FI155" i="20"/>
  <c r="FG153" i="20"/>
  <c r="CX35" i="20"/>
  <c r="CZ35" i="20" s="1"/>
  <c r="DB35" i="20" s="1"/>
  <c r="DD35" i="20" s="1"/>
  <c r="DF35" i="20" s="1"/>
  <c r="FH154" i="20"/>
  <c r="FF151" i="20"/>
  <c r="FI154" i="20"/>
  <c r="FH153" i="20"/>
  <c r="FJ156" i="20"/>
  <c r="FE151" i="20"/>
  <c r="FC148" i="20"/>
  <c r="JL30" i="28"/>
  <c r="JM30" i="28" s="1"/>
  <c r="JB30" i="28" s="1"/>
  <c r="FH152" i="35"/>
  <c r="FJ154" i="35"/>
  <c r="FK154" i="35"/>
  <c r="FG151" i="35"/>
  <c r="FI152" i="35"/>
  <c r="FK155" i="35"/>
  <c r="BD36" i="20"/>
  <c r="GH35" i="20"/>
  <c r="GW35" i="20"/>
  <c r="BX35" i="20"/>
  <c r="FD35" i="20"/>
  <c r="FS35" i="20"/>
  <c r="HL35" i="20"/>
  <c r="HM34" i="35"/>
  <c r="FE34" i="35"/>
  <c r="FT34" i="35"/>
  <c r="GX34" i="35"/>
  <c r="IQ34" i="35"/>
  <c r="IB34" i="35"/>
  <c r="GI34" i="35"/>
  <c r="IU37" i="35"/>
  <c r="FI37" i="35"/>
  <c r="FX37" i="35"/>
  <c r="GM37" i="35"/>
  <c r="IF37" i="35"/>
  <c r="HQ37" i="35"/>
  <c r="HB37" i="35"/>
  <c r="CS39" i="20"/>
  <c r="DV39" i="20"/>
  <c r="DB31" i="35"/>
  <c r="DA31" i="35"/>
  <c r="DP31" i="35" s="1"/>
  <c r="EH31" i="35" s="1"/>
  <c r="CU35" i="35"/>
  <c r="DT35" i="35"/>
  <c r="EL35" i="35" s="1"/>
  <c r="DU38" i="20"/>
  <c r="CT38" i="20"/>
  <c r="IM35" i="20"/>
  <c r="IZ35" i="20" s="1"/>
  <c r="EK33" i="35"/>
  <c r="HP39" i="20"/>
  <c r="IE39" i="20"/>
  <c r="HA39" i="20"/>
  <c r="FW39" i="20"/>
  <c r="GL39" i="20"/>
  <c r="IT39" i="20"/>
  <c r="FH39" i="20"/>
  <c r="CZ32" i="35"/>
  <c r="CY32" i="35"/>
  <c r="DQ32" i="35" s="1"/>
  <c r="IC35" i="35"/>
  <c r="IR35" i="35"/>
  <c r="HN35" i="35"/>
  <c r="FF35" i="35"/>
  <c r="GY35" i="35"/>
  <c r="FU35" i="35"/>
  <c r="GJ35" i="35"/>
  <c r="EN38" i="20"/>
  <c r="EM37" i="20"/>
  <c r="DW38" i="35"/>
  <c r="EO38" i="35" s="1"/>
  <c r="CR38" i="35"/>
  <c r="CS37" i="35"/>
  <c r="DV37" i="35"/>
  <c r="EN37" i="35" s="1"/>
  <c r="CT36" i="35"/>
  <c r="DU36" i="35"/>
  <c r="EM36" i="35" s="1"/>
  <c r="DT37" i="20"/>
  <c r="CU37" i="20"/>
  <c r="HQ38" i="35"/>
  <c r="FI38" i="35"/>
  <c r="IF38" i="35"/>
  <c r="IU38" i="35"/>
  <c r="FX38" i="35"/>
  <c r="HB38" i="35"/>
  <c r="GM38" i="35"/>
  <c r="DY40" i="35"/>
  <c r="EQ40" i="35" s="1"/>
  <c r="CP40" i="35"/>
  <c r="HC39" i="35"/>
  <c r="GN39" i="35"/>
  <c r="FJ39" i="35"/>
  <c r="IV39" i="35"/>
  <c r="FY39" i="35"/>
  <c r="IG39" i="35"/>
  <c r="HR39" i="35"/>
  <c r="FE149" i="35"/>
  <c r="FP33" i="35"/>
  <c r="FA149" i="35" s="1"/>
  <c r="D72" i="34" s="1"/>
  <c r="GK36" i="35"/>
  <c r="IS36" i="35"/>
  <c r="GZ36" i="35"/>
  <c r="ID36" i="35"/>
  <c r="FG36" i="35"/>
  <c r="HO36" i="35"/>
  <c r="FV36" i="35"/>
  <c r="IC34" i="35"/>
  <c r="FF34" i="35"/>
  <c r="FU34" i="35"/>
  <c r="GY34" i="35"/>
  <c r="IR34" i="35"/>
  <c r="GJ34" i="35"/>
  <c r="HN34" i="35"/>
  <c r="IZ33" i="35"/>
  <c r="GO40" i="35"/>
  <c r="IW40" i="35"/>
  <c r="HD40" i="35"/>
  <c r="HS40" i="35"/>
  <c r="IH40" i="35"/>
  <c r="FK40" i="35"/>
  <c r="FZ40" i="35"/>
  <c r="CQ39" i="35"/>
  <c r="DX39" i="35"/>
  <c r="EP39" i="35" s="1"/>
  <c r="CR40" i="20"/>
  <c r="DW40" i="20"/>
  <c r="EO40" i="20" s="1"/>
  <c r="DS36" i="20"/>
  <c r="EK36" i="20" s="1"/>
  <c r="CV36" i="20"/>
  <c r="GI36" i="20"/>
  <c r="GX36" i="20"/>
  <c r="HM36" i="20"/>
  <c r="FT36" i="20"/>
  <c r="FE36" i="20"/>
  <c r="IB36" i="20"/>
  <c r="IQ36" i="20"/>
  <c r="EP40" i="20"/>
  <c r="HP37" i="35"/>
  <c r="IT37" i="35"/>
  <c r="HA37" i="35"/>
  <c r="FH37" i="35"/>
  <c r="IE37" i="35"/>
  <c r="FW37" i="35"/>
  <c r="GL37" i="35"/>
  <c r="FU36" i="20"/>
  <c r="IC36" i="20"/>
  <c r="HN36" i="20"/>
  <c r="GJ36" i="20"/>
  <c r="IR36" i="20"/>
  <c r="GY36" i="20"/>
  <c r="FF36" i="20"/>
  <c r="DS34" i="35"/>
  <c r="EK34" i="35" s="1"/>
  <c r="CV34" i="35"/>
  <c r="CX33" i="35"/>
  <c r="CW33" i="35"/>
  <c r="DR33" i="35" s="1"/>
  <c r="EJ32" i="35"/>
  <c r="JJ31" i="20"/>
  <c r="JK31" i="20" s="1"/>
  <c r="JA31" i="20" s="1"/>
  <c r="EC31" i="20"/>
  <c r="JO32" i="35"/>
  <c r="JP32" i="35" s="1"/>
  <c r="JI30" i="35"/>
  <c r="JI31" i="35" s="1"/>
  <c r="GE32" i="20"/>
  <c r="FA148" i="20" s="1"/>
  <c r="BU40" i="35"/>
  <c r="CH33" i="20"/>
  <c r="EE27" i="35"/>
  <c r="JH31" i="35"/>
  <c r="JG32" i="35"/>
  <c r="EF27" i="35"/>
  <c r="DB30" i="35"/>
  <c r="DA30" i="35"/>
  <c r="DP30" i="35" s="1"/>
  <c r="JL31" i="35"/>
  <c r="JK32" i="35"/>
  <c r="DD29" i="35"/>
  <c r="DC29" i="35"/>
  <c r="DO29" i="35" s="1"/>
  <c r="EG29" i="35" s="1"/>
  <c r="EI30" i="35"/>
  <c r="JR31" i="35"/>
  <c r="JQ32" i="35"/>
  <c r="JN30" i="35"/>
  <c r="JM31" i="35"/>
  <c r="DF28" i="35"/>
  <c r="DG28" i="35" s="1"/>
  <c r="DM28" i="35" s="1"/>
  <c r="DE28" i="35"/>
  <c r="DN28" i="35" s="1"/>
  <c r="JT30" i="35"/>
  <c r="JS31" i="35"/>
  <c r="JJ31" i="28"/>
  <c r="JK31" i="28" s="1"/>
  <c r="EE32" i="20"/>
  <c r="FH153" i="28"/>
  <c r="FK156" i="28"/>
  <c r="EF32" i="20"/>
  <c r="DG33" i="20"/>
  <c r="DM33" i="20" s="1"/>
  <c r="FR33" i="20"/>
  <c r="FP33" i="20" s="1"/>
  <c r="DE33" i="20"/>
  <c r="DN33" i="20" s="1"/>
  <c r="CG33" i="20"/>
  <c r="DC33" i="20"/>
  <c r="DO33" i="20" s="1"/>
  <c r="EG33" i="20" s="1"/>
  <c r="FC33" i="20"/>
  <c r="FA33" i="20" s="1"/>
  <c r="JF33" i="20" s="1"/>
  <c r="JG33" i="20" s="1"/>
  <c r="CF33" i="20"/>
  <c r="BY33" i="20"/>
  <c r="FD156" i="35"/>
  <c r="FG152" i="28"/>
  <c r="JH31" i="28"/>
  <c r="JI31" i="28" s="1"/>
  <c r="HP38" i="28"/>
  <c r="HA38" i="28"/>
  <c r="FW38" i="28"/>
  <c r="IT38" i="28"/>
  <c r="GL38" i="28"/>
  <c r="FH38" i="28"/>
  <c r="IE38" i="28"/>
  <c r="EN37" i="28"/>
  <c r="DU37" i="28"/>
  <c r="CT37" i="28"/>
  <c r="IF39" i="28"/>
  <c r="FX39" i="28"/>
  <c r="HB39" i="28"/>
  <c r="IU39" i="28"/>
  <c r="GM39" i="28"/>
  <c r="FI39" i="28"/>
  <c r="HQ39" i="28"/>
  <c r="HC39" i="28"/>
  <c r="FJ39" i="28"/>
  <c r="FY39" i="28"/>
  <c r="IV39" i="28"/>
  <c r="IG39" i="28"/>
  <c r="HR39" i="28"/>
  <c r="GN39" i="28"/>
  <c r="DW39" i="28"/>
  <c r="CR39" i="28"/>
  <c r="DT36" i="28"/>
  <c r="EL36" i="28" s="1"/>
  <c r="CU36" i="28"/>
  <c r="IF38" i="28"/>
  <c r="HQ38" i="28"/>
  <c r="IU38" i="28"/>
  <c r="FI38" i="28"/>
  <c r="HB38" i="28"/>
  <c r="GM38" i="28"/>
  <c r="FX38" i="28"/>
  <c r="EM36" i="28"/>
  <c r="FJ40" i="28"/>
  <c r="GN40" i="28"/>
  <c r="FY40" i="28"/>
  <c r="IV40" i="28"/>
  <c r="HC40" i="28"/>
  <c r="IG40" i="28"/>
  <c r="HR40" i="28"/>
  <c r="DV38" i="28"/>
  <c r="EN38" i="28" s="1"/>
  <c r="CS38" i="28"/>
  <c r="DX40" i="28"/>
  <c r="CQ40" i="28"/>
  <c r="BM35" i="20"/>
  <c r="BO34" i="20"/>
  <c r="CF34" i="20" s="1"/>
  <c r="X9" i="35"/>
  <c r="X10" i="35" s="1"/>
  <c r="AM9" i="35"/>
  <c r="BG37" i="28"/>
  <c r="BF38" i="28"/>
  <c r="BW37" i="28"/>
  <c r="BV38" i="28"/>
  <c r="FF149" i="28"/>
  <c r="BN38" i="20"/>
  <c r="BF37" i="20"/>
  <c r="BG36" i="20"/>
  <c r="AJ9" i="20"/>
  <c r="BS42" i="20"/>
  <c r="FE147" i="28"/>
  <c r="BJ39" i="20"/>
  <c r="BK38" i="20"/>
  <c r="DA33" i="28"/>
  <c r="DP33" i="28" s="1"/>
  <c r="CY33" i="28"/>
  <c r="DQ33" i="28" s="1"/>
  <c r="CW33" i="28"/>
  <c r="DR33" i="28" s="1"/>
  <c r="EJ33" i="28" s="1"/>
  <c r="GI33" i="28"/>
  <c r="FE33" i="28"/>
  <c r="IQ33" i="28"/>
  <c r="IM33" i="28" s="1"/>
  <c r="GX33" i="28"/>
  <c r="GT33" i="28" s="1"/>
  <c r="HM33" i="28"/>
  <c r="HI33" i="28" s="1"/>
  <c r="IB33" i="28"/>
  <c r="HX33" i="28" s="1"/>
  <c r="FT33" i="28"/>
  <c r="DT35" i="28"/>
  <c r="EL35" i="28" s="1"/>
  <c r="CU35" i="28"/>
  <c r="FT34" i="28"/>
  <c r="IB34" i="28"/>
  <c r="IQ34" i="28"/>
  <c r="GX34" i="28"/>
  <c r="HM34" i="28"/>
  <c r="GI34" i="28"/>
  <c r="FE34" i="28"/>
  <c r="GY34" i="28"/>
  <c r="GJ34" i="28"/>
  <c r="IR34" i="28"/>
  <c r="FU34" i="28"/>
  <c r="FF34" i="28"/>
  <c r="IC34" i="28"/>
  <c r="HN34" i="28"/>
  <c r="DS34" i="28"/>
  <c r="EK34" i="28" s="1"/>
  <c r="CV34" i="28"/>
  <c r="CX34" i="28" s="1"/>
  <c r="CZ34" i="28" s="1"/>
  <c r="DB34" i="28" s="1"/>
  <c r="DD34" i="28" s="1"/>
  <c r="DF34" i="28" s="1"/>
  <c r="FG151" i="28"/>
  <c r="EM35" i="28"/>
  <c r="GE31" i="28"/>
  <c r="FA147" i="28" s="1"/>
  <c r="JT31" i="28"/>
  <c r="JU31" i="28" s="1"/>
  <c r="EC26" i="28"/>
  <c r="EE27" i="28"/>
  <c r="FC148" i="28"/>
  <c r="CZ31" i="28"/>
  <c r="CY31" i="28"/>
  <c r="DQ31" i="28" s="1"/>
  <c r="EI31" i="28" s="1"/>
  <c r="DB30" i="28"/>
  <c r="DA30" i="28"/>
  <c r="DP30" i="28" s="1"/>
  <c r="JR33" i="20"/>
  <c r="JS32" i="20"/>
  <c r="CX32" i="28"/>
  <c r="CW32" i="28"/>
  <c r="DR32" i="28" s="1"/>
  <c r="DD29" i="28"/>
  <c r="DC29" i="28"/>
  <c r="DO29" i="28" s="1"/>
  <c r="EG28" i="28"/>
  <c r="DF28" i="28"/>
  <c r="DG28" i="28" s="1"/>
  <c r="DM28" i="28" s="1"/>
  <c r="DE28" i="28"/>
  <c r="DN28" i="28" s="1"/>
  <c r="JA31" i="28"/>
  <c r="EF27" i="28"/>
  <c r="EJ31" i="28"/>
  <c r="GX32" i="28"/>
  <c r="GT32" i="28" s="1"/>
  <c r="JN32" i="28" s="1"/>
  <c r="JO32" i="28" s="1"/>
  <c r="GI32" i="28"/>
  <c r="IB32" i="28"/>
  <c r="HX32" i="28" s="1"/>
  <c r="JR32" i="28" s="1"/>
  <c r="JS32" i="28" s="1"/>
  <c r="FE32" i="28"/>
  <c r="FA32" i="28" s="1"/>
  <c r="HM32" i="28"/>
  <c r="HI32" i="28" s="1"/>
  <c r="JP32" i="28" s="1"/>
  <c r="JQ32" i="28" s="1"/>
  <c r="FT32" i="28"/>
  <c r="FP32" i="28" s="1"/>
  <c r="IQ32" i="28"/>
  <c r="IM32" i="28" s="1"/>
  <c r="CH33" i="28"/>
  <c r="DG33" i="28"/>
  <c r="DM33" i="28" s="1"/>
  <c r="GG33" i="28"/>
  <c r="DE33" i="28"/>
  <c r="DN33" i="28" s="1"/>
  <c r="FC33" i="28"/>
  <c r="DC33" i="28"/>
  <c r="DO33" i="28" s="1"/>
  <c r="BA36" i="28"/>
  <c r="BC35" i="28"/>
  <c r="BI36" i="28"/>
  <c r="BK35" i="28"/>
  <c r="BY33" i="28"/>
  <c r="CG33" i="28"/>
  <c r="FR33" i="28"/>
  <c r="BM35" i="28"/>
  <c r="BO34" i="28"/>
  <c r="FR34" i="28" s="1"/>
  <c r="BQ36" i="28"/>
  <c r="BS35" i="28"/>
  <c r="HZ34" i="28"/>
  <c r="CC34" i="28"/>
  <c r="CD34" i="28"/>
  <c r="HK34" i="28"/>
  <c r="GV34" i="28"/>
  <c r="CE34" i="28"/>
  <c r="JH32" i="20"/>
  <c r="JI32" i="20" s="1"/>
  <c r="EI33" i="20"/>
  <c r="GE33" i="20"/>
  <c r="HZ34" i="20"/>
  <c r="HX34" i="20" s="1"/>
  <c r="JP34" i="20" s="1"/>
  <c r="JQ34" i="20" s="1"/>
  <c r="GV34" i="20"/>
  <c r="GT34" i="20" s="1"/>
  <c r="JL34" i="20" s="1"/>
  <c r="JM34" i="20" s="1"/>
  <c r="HK34" i="20"/>
  <c r="HI34" i="20" s="1"/>
  <c r="JN34" i="20" s="1"/>
  <c r="JO34" i="20" s="1"/>
  <c r="CC34" i="20"/>
  <c r="CE34" i="20"/>
  <c r="CD34" i="20"/>
  <c r="CW34" i="20"/>
  <c r="DR34" i="20" s="1"/>
  <c r="CY34" i="20"/>
  <c r="DQ34" i="20" s="1"/>
  <c r="DA34" i="20"/>
  <c r="DP34" i="20" s="1"/>
  <c r="BA36" i="20"/>
  <c r="BC35" i="20"/>
  <c r="BU36" i="20"/>
  <c r="BW35" i="20"/>
  <c r="EH33" i="20"/>
  <c r="FC151" i="35" l="1"/>
  <c r="CF36" i="35"/>
  <c r="CE36" i="35"/>
  <c r="CD36" i="35"/>
  <c r="BY36" i="35"/>
  <c r="FC36" i="35"/>
  <c r="CG36" i="35"/>
  <c r="BK42" i="35"/>
  <c r="FR36" i="35"/>
  <c r="FC152" i="35" s="1"/>
  <c r="HK36" i="35"/>
  <c r="GG36" i="35"/>
  <c r="BQ39" i="35"/>
  <c r="BS38" i="35"/>
  <c r="CH36" i="35"/>
  <c r="BV39" i="35"/>
  <c r="BW38" i="35"/>
  <c r="CC37" i="35"/>
  <c r="HZ37" i="35"/>
  <c r="BB39" i="35"/>
  <c r="BC38" i="35"/>
  <c r="BE38" i="35"/>
  <c r="BG37" i="35"/>
  <c r="CF37" i="35" s="1"/>
  <c r="BN39" i="35"/>
  <c r="BO38" i="35"/>
  <c r="DG34" i="20"/>
  <c r="DM34" i="20" s="1"/>
  <c r="FC149" i="20"/>
  <c r="FH155" i="20"/>
  <c r="FE152" i="20"/>
  <c r="FI154" i="35"/>
  <c r="FF152" i="20"/>
  <c r="FD151" i="20"/>
  <c r="DC34" i="20"/>
  <c r="DO34" i="20" s="1"/>
  <c r="EG34" i="20" s="1"/>
  <c r="CH34" i="20"/>
  <c r="FH153" i="35"/>
  <c r="CX36" i="20"/>
  <c r="CZ36" i="20" s="1"/>
  <c r="DB36" i="20" s="1"/>
  <c r="DD36" i="20" s="1"/>
  <c r="DF36" i="20" s="1"/>
  <c r="FJ155" i="35"/>
  <c r="FK156" i="35"/>
  <c r="FI153" i="35"/>
  <c r="FF151" i="35"/>
  <c r="FF150" i="35"/>
  <c r="FG152" i="35"/>
  <c r="BD37" i="20"/>
  <c r="FS36" i="20"/>
  <c r="FD36" i="20"/>
  <c r="GW36" i="20"/>
  <c r="HL36" i="20"/>
  <c r="BX36" i="20"/>
  <c r="GH36" i="20"/>
  <c r="GE34" i="35"/>
  <c r="CZ33" i="35"/>
  <c r="CY33" i="35"/>
  <c r="DQ33" i="35" s="1"/>
  <c r="EI33" i="35" s="1"/>
  <c r="HQ39" i="35"/>
  <c r="HB39" i="35"/>
  <c r="IU39" i="35"/>
  <c r="GM39" i="35"/>
  <c r="FI39" i="35"/>
  <c r="IF39" i="35"/>
  <c r="FX39" i="35"/>
  <c r="DV38" i="35"/>
  <c r="EN38" i="35" s="1"/>
  <c r="CS38" i="35"/>
  <c r="FG38" i="20"/>
  <c r="GK38" i="20"/>
  <c r="FV38" i="20"/>
  <c r="IS38" i="20"/>
  <c r="HO38" i="20"/>
  <c r="GZ38" i="20"/>
  <c r="ID38" i="20"/>
  <c r="GX35" i="35"/>
  <c r="GT35" i="35" s="1"/>
  <c r="FE35" i="35"/>
  <c r="FA35" i="35" s="1"/>
  <c r="GI35" i="35"/>
  <c r="GE35" i="35" s="1"/>
  <c r="FT35" i="35"/>
  <c r="HM35" i="35"/>
  <c r="HI35" i="35" s="1"/>
  <c r="IB35" i="35"/>
  <c r="HX35" i="35" s="1"/>
  <c r="IQ35" i="35"/>
  <c r="IM35" i="35" s="1"/>
  <c r="HX34" i="35"/>
  <c r="CX34" i="35"/>
  <c r="CW34" i="35"/>
  <c r="DR34" i="35" s="1"/>
  <c r="DW39" i="35"/>
  <c r="EO39" i="35" s="1"/>
  <c r="CR39" i="35"/>
  <c r="CQ40" i="35"/>
  <c r="DX40" i="35"/>
  <c r="EP40" i="35" s="1"/>
  <c r="GL38" i="35"/>
  <c r="HP38" i="35"/>
  <c r="IT38" i="35"/>
  <c r="HA38" i="35"/>
  <c r="FH38" i="35"/>
  <c r="IE38" i="35"/>
  <c r="FW38" i="35"/>
  <c r="DB32" i="35"/>
  <c r="DA32" i="35"/>
  <c r="DP32" i="35" s="1"/>
  <c r="DS35" i="35"/>
  <c r="CV35" i="35"/>
  <c r="IM34" i="35"/>
  <c r="IZ34" i="35" s="1"/>
  <c r="IG40" i="35"/>
  <c r="HR40" i="35"/>
  <c r="GN40" i="35"/>
  <c r="HC40" i="35"/>
  <c r="IV40" i="35"/>
  <c r="FY40" i="35"/>
  <c r="FJ40" i="35"/>
  <c r="DS37" i="20"/>
  <c r="EK37" i="20" s="1"/>
  <c r="CV37" i="20"/>
  <c r="EJ33" i="35"/>
  <c r="EI32" i="35"/>
  <c r="GT34" i="35"/>
  <c r="IT40" i="20"/>
  <c r="HP40" i="20"/>
  <c r="GL40" i="20"/>
  <c r="HA40" i="20"/>
  <c r="FW40" i="20"/>
  <c r="IE40" i="20"/>
  <c r="FH40" i="20"/>
  <c r="FE150" i="35"/>
  <c r="FP34" i="35"/>
  <c r="CT37" i="35"/>
  <c r="DU37" i="35"/>
  <c r="EM37" i="35" s="1"/>
  <c r="IF40" i="20"/>
  <c r="IU40" i="20"/>
  <c r="HB40" i="20"/>
  <c r="FI40" i="20"/>
  <c r="HQ40" i="20"/>
  <c r="FX40" i="20"/>
  <c r="GM40" i="20"/>
  <c r="IR36" i="35"/>
  <c r="FU36" i="35"/>
  <c r="HN36" i="35"/>
  <c r="FF36" i="35"/>
  <c r="GY36" i="35"/>
  <c r="IC36" i="35"/>
  <c r="GJ36" i="35"/>
  <c r="DD31" i="35"/>
  <c r="DC31" i="35"/>
  <c r="DO31" i="35" s="1"/>
  <c r="EG31" i="35" s="1"/>
  <c r="FA34" i="35"/>
  <c r="EM38" i="20"/>
  <c r="IM36" i="20"/>
  <c r="IZ36" i="20" s="1"/>
  <c r="DT36" i="35"/>
  <c r="EL36" i="35" s="1"/>
  <c r="CU36" i="35"/>
  <c r="EL37" i="20"/>
  <c r="EN39" i="20"/>
  <c r="HI34" i="35"/>
  <c r="CS40" i="20"/>
  <c r="DV40" i="20"/>
  <c r="GZ37" i="35"/>
  <c r="GK37" i="35"/>
  <c r="FG37" i="35"/>
  <c r="ID37" i="35"/>
  <c r="FV37" i="35"/>
  <c r="IS37" i="35"/>
  <c r="HO37" i="35"/>
  <c r="IC37" i="20"/>
  <c r="HN37" i="20"/>
  <c r="GY37" i="20"/>
  <c r="IR37" i="20"/>
  <c r="GJ37" i="20"/>
  <c r="FF37" i="20"/>
  <c r="FU37" i="20"/>
  <c r="DT38" i="20"/>
  <c r="CU38" i="20"/>
  <c r="DU39" i="20"/>
  <c r="CT39" i="20"/>
  <c r="FC34" i="20"/>
  <c r="FA34" i="20" s="1"/>
  <c r="JF34" i="20" s="1"/>
  <c r="JG34" i="20" s="1"/>
  <c r="GG34" i="20"/>
  <c r="CG34" i="20"/>
  <c r="FR34" i="20"/>
  <c r="FP34" i="20" s="1"/>
  <c r="BY34" i="20"/>
  <c r="DE34" i="20"/>
  <c r="DN34" i="20" s="1"/>
  <c r="JO33" i="35"/>
  <c r="JP33" i="35" s="1"/>
  <c r="JJ32" i="20"/>
  <c r="JK32" i="20" s="1"/>
  <c r="JA32" i="20" s="1"/>
  <c r="JJ30" i="35"/>
  <c r="JA30" i="35" s="1"/>
  <c r="EF33" i="20"/>
  <c r="EC27" i="35"/>
  <c r="JJ32" i="28"/>
  <c r="JK32" i="28" s="1"/>
  <c r="EE28" i="35"/>
  <c r="JI32" i="35"/>
  <c r="JJ31" i="35"/>
  <c r="JN31" i="35"/>
  <c r="JM32" i="35"/>
  <c r="DD30" i="35"/>
  <c r="DC30" i="35"/>
  <c r="DO30" i="35" s="1"/>
  <c r="EH30" i="35"/>
  <c r="JR32" i="35"/>
  <c r="JQ33" i="35"/>
  <c r="DE29" i="35"/>
  <c r="DN29" i="35" s="1"/>
  <c r="DF29" i="35"/>
  <c r="DG29" i="35" s="1"/>
  <c r="DM29" i="35" s="1"/>
  <c r="JL32" i="35"/>
  <c r="JK33" i="35"/>
  <c r="EC32" i="20"/>
  <c r="JT31" i="35"/>
  <c r="JS32" i="35"/>
  <c r="EF28" i="35"/>
  <c r="JH32" i="35"/>
  <c r="JG33" i="35"/>
  <c r="FI155" i="28"/>
  <c r="EE33" i="20"/>
  <c r="FH154" i="28"/>
  <c r="FI154" i="28"/>
  <c r="FJ156" i="28"/>
  <c r="FA33" i="28"/>
  <c r="FJ155" i="28"/>
  <c r="JH32" i="28"/>
  <c r="JI32" i="28" s="1"/>
  <c r="FF150" i="28"/>
  <c r="EP40" i="28"/>
  <c r="ID37" i="28"/>
  <c r="FV37" i="28"/>
  <c r="GK37" i="28"/>
  <c r="FG37" i="28"/>
  <c r="GZ37" i="28"/>
  <c r="HO37" i="28"/>
  <c r="IS37" i="28"/>
  <c r="DU38" i="28"/>
  <c r="CT38" i="28"/>
  <c r="IS38" i="28"/>
  <c r="FG38" i="28"/>
  <c r="FV38" i="28"/>
  <c r="GK38" i="28"/>
  <c r="GZ38" i="28"/>
  <c r="HO38" i="28"/>
  <c r="ID38" i="28"/>
  <c r="GX36" i="28"/>
  <c r="HM36" i="28"/>
  <c r="GI36" i="28"/>
  <c r="FT36" i="28"/>
  <c r="FE36" i="28"/>
  <c r="IB36" i="28"/>
  <c r="IQ36" i="28"/>
  <c r="GJ36" i="28"/>
  <c r="HN36" i="28"/>
  <c r="FU36" i="28"/>
  <c r="IC36" i="28"/>
  <c r="GY36" i="28"/>
  <c r="IR36" i="28"/>
  <c r="FF36" i="28"/>
  <c r="DS36" i="28"/>
  <c r="EK36" i="28" s="1"/>
  <c r="CV36" i="28"/>
  <c r="CX36" i="28" s="1"/>
  <c r="CZ36" i="28" s="1"/>
  <c r="DB36" i="28" s="1"/>
  <c r="DD36" i="28" s="1"/>
  <c r="DF36" i="28" s="1"/>
  <c r="CS39" i="28"/>
  <c r="DV39" i="28"/>
  <c r="EN39" i="28" s="1"/>
  <c r="DT37" i="28"/>
  <c r="CU37" i="28"/>
  <c r="EO39" i="28"/>
  <c r="DW40" i="28"/>
  <c r="EO40" i="28" s="1"/>
  <c r="CR40" i="28"/>
  <c r="EM37" i="28"/>
  <c r="BM36" i="20"/>
  <c r="BO35" i="20"/>
  <c r="FC35" i="20" s="1"/>
  <c r="FA35" i="20" s="1"/>
  <c r="EG33" i="28"/>
  <c r="FE150" i="28"/>
  <c r="EH33" i="28"/>
  <c r="CW34" i="28"/>
  <c r="DR34" i="28" s="1"/>
  <c r="EJ34" i="28" s="1"/>
  <c r="DA34" i="28"/>
  <c r="DP34" i="28" s="1"/>
  <c r="CY34" i="28"/>
  <c r="DQ34" i="28" s="1"/>
  <c r="HX34" i="28"/>
  <c r="BW38" i="28"/>
  <c r="BV39" i="28"/>
  <c r="BG38" i="28"/>
  <c r="BF39" i="28"/>
  <c r="EI33" i="28"/>
  <c r="FP34" i="28"/>
  <c r="FE148" i="28"/>
  <c r="FE149" i="28"/>
  <c r="BF38" i="20"/>
  <c r="BG37" i="20"/>
  <c r="BJ40" i="20"/>
  <c r="BK40" i="20" s="1"/>
  <c r="AF9" i="20" s="1"/>
  <c r="BK39" i="20"/>
  <c r="BN39" i="20"/>
  <c r="GT34" i="28"/>
  <c r="JL31" i="28"/>
  <c r="JM31" i="28" s="1"/>
  <c r="JB31" i="28" s="1"/>
  <c r="IM34" i="28"/>
  <c r="FP33" i="28"/>
  <c r="HI34" i="28"/>
  <c r="FE35" i="28"/>
  <c r="IB35" i="28"/>
  <c r="HM35" i="28"/>
  <c r="GX35" i="28"/>
  <c r="IQ35" i="28"/>
  <c r="GI35" i="28"/>
  <c r="FT35" i="28"/>
  <c r="HN35" i="28"/>
  <c r="GJ35" i="28"/>
  <c r="IR35" i="28"/>
  <c r="FU35" i="28"/>
  <c r="IC35" i="28"/>
  <c r="FF35" i="28"/>
  <c r="GY35" i="28"/>
  <c r="DS35" i="28"/>
  <c r="EK35" i="28" s="1"/>
  <c r="CV35" i="28"/>
  <c r="CX35" i="28" s="1"/>
  <c r="CZ35" i="28" s="1"/>
  <c r="DB35" i="28" s="1"/>
  <c r="DD35" i="28" s="1"/>
  <c r="DF35" i="28" s="1"/>
  <c r="FC149" i="28"/>
  <c r="JT32" i="28"/>
  <c r="JU32" i="28" s="1"/>
  <c r="EE28" i="28"/>
  <c r="GE32" i="28"/>
  <c r="FA148" i="28" s="1"/>
  <c r="EC27" i="28"/>
  <c r="EF28" i="28"/>
  <c r="JR33" i="28"/>
  <c r="JS33" i="28" s="1"/>
  <c r="EE33" i="28"/>
  <c r="JP33" i="28"/>
  <c r="JQ33" i="28" s="1"/>
  <c r="DF29" i="28"/>
  <c r="DG29" i="28" s="1"/>
  <c r="DM29" i="28" s="1"/>
  <c r="DE29" i="28"/>
  <c r="DN29" i="28" s="1"/>
  <c r="EF29" i="28" s="1"/>
  <c r="JN33" i="28"/>
  <c r="JO33" i="28" s="1"/>
  <c r="EG29" i="28"/>
  <c r="EH30" i="28"/>
  <c r="JA32" i="28"/>
  <c r="JA33" i="28" s="1"/>
  <c r="DD30" i="28"/>
  <c r="DC30" i="28"/>
  <c r="DO30" i="28" s="1"/>
  <c r="EJ32" i="28"/>
  <c r="CZ32" i="28"/>
  <c r="CY32" i="28"/>
  <c r="DQ32" i="28" s="1"/>
  <c r="DB31" i="28"/>
  <c r="DA31" i="28"/>
  <c r="DP31" i="28" s="1"/>
  <c r="JR34" i="20"/>
  <c r="JS33" i="20"/>
  <c r="BY34" i="28"/>
  <c r="GE33" i="28"/>
  <c r="EF33" i="28"/>
  <c r="FC34" i="28"/>
  <c r="FA34" i="28" s="1"/>
  <c r="DG34" i="28"/>
  <c r="DM34" i="28" s="1"/>
  <c r="DE34" i="28"/>
  <c r="DN34" i="28" s="1"/>
  <c r="DC34" i="28"/>
  <c r="DO34" i="28" s="1"/>
  <c r="CH34" i="28"/>
  <c r="GG34" i="28"/>
  <c r="GE34" i="28" s="1"/>
  <c r="BI37" i="28"/>
  <c r="BK36" i="28"/>
  <c r="BM36" i="28"/>
  <c r="BO35" i="28"/>
  <c r="CF35" i="28" s="1"/>
  <c r="BQ37" i="28"/>
  <c r="BS36" i="28"/>
  <c r="HZ35" i="28"/>
  <c r="CC35" i="28"/>
  <c r="CD35" i="28"/>
  <c r="GV35" i="28"/>
  <c r="HK35" i="28"/>
  <c r="CE35" i="28"/>
  <c r="CG34" i="28"/>
  <c r="CF34" i="28"/>
  <c r="BA37" i="28"/>
  <c r="BC36" i="28"/>
  <c r="JH33" i="20"/>
  <c r="JI33" i="20" s="1"/>
  <c r="FA149" i="20"/>
  <c r="EH34" i="20"/>
  <c r="BU37" i="20"/>
  <c r="BW36" i="20"/>
  <c r="HZ35" i="20"/>
  <c r="HX35" i="20" s="1"/>
  <c r="JP35" i="20" s="1"/>
  <c r="JQ35" i="20" s="1"/>
  <c r="HK35" i="20"/>
  <c r="HI35" i="20" s="1"/>
  <c r="JN35" i="20" s="1"/>
  <c r="JO35" i="20" s="1"/>
  <c r="GV35" i="20"/>
  <c r="GT35" i="20" s="1"/>
  <c r="JL35" i="20" s="1"/>
  <c r="JM35" i="20" s="1"/>
  <c r="CE35" i="20"/>
  <c r="CC35" i="20"/>
  <c r="CD35" i="20"/>
  <c r="CW35" i="20"/>
  <c r="DR35" i="20" s="1"/>
  <c r="EJ35" i="20" s="1"/>
  <c r="CY35" i="20"/>
  <c r="DQ35" i="20" s="1"/>
  <c r="DA35" i="20"/>
  <c r="DP35" i="20" s="1"/>
  <c r="BA37" i="20"/>
  <c r="BC36" i="20"/>
  <c r="EI34" i="20"/>
  <c r="EJ34" i="20"/>
  <c r="CE37" i="35" l="1"/>
  <c r="BY37" i="35"/>
  <c r="BQ40" i="35"/>
  <c r="BS40" i="35" s="1"/>
  <c r="AJ9" i="35" s="1"/>
  <c r="BS39" i="35"/>
  <c r="BN40" i="35"/>
  <c r="BO40" i="35" s="1"/>
  <c r="AH9" i="35" s="1"/>
  <c r="BO39" i="35"/>
  <c r="CH37" i="35"/>
  <c r="HK37" i="35"/>
  <c r="BE39" i="35"/>
  <c r="BG38" i="35"/>
  <c r="GG38" i="35" s="1"/>
  <c r="CG37" i="35"/>
  <c r="CD37" i="35"/>
  <c r="FR37" i="35"/>
  <c r="GG37" i="35"/>
  <c r="FC37" i="35"/>
  <c r="GV37" i="35"/>
  <c r="CC38" i="35"/>
  <c r="HZ38" i="35"/>
  <c r="CD38" i="35"/>
  <c r="GV38" i="35"/>
  <c r="HK38" i="35"/>
  <c r="BY38" i="35"/>
  <c r="CH38" i="35"/>
  <c r="FC38" i="35"/>
  <c r="BB40" i="35"/>
  <c r="BC40" i="35" s="1"/>
  <c r="BC39" i="35"/>
  <c r="BV40" i="35"/>
  <c r="BW40" i="35" s="1"/>
  <c r="AL9" i="35" s="1"/>
  <c r="BW39" i="35"/>
  <c r="EE34" i="20"/>
  <c r="FI156" i="20"/>
  <c r="FH156" i="20"/>
  <c r="FC150" i="20"/>
  <c r="FF152" i="35"/>
  <c r="FF153" i="20"/>
  <c r="FD152" i="20"/>
  <c r="FG154" i="20"/>
  <c r="CX37" i="20"/>
  <c r="CZ37" i="20" s="1"/>
  <c r="DB37" i="20" s="1"/>
  <c r="DD37" i="20" s="1"/>
  <c r="DF37" i="20" s="1"/>
  <c r="FJ156" i="35"/>
  <c r="IZ35" i="35"/>
  <c r="FG153" i="35"/>
  <c r="FA150" i="35"/>
  <c r="D73" i="34" s="1"/>
  <c r="FI155" i="35"/>
  <c r="JA31" i="35"/>
  <c r="FH154" i="35"/>
  <c r="BD38" i="20"/>
  <c r="GW37" i="20"/>
  <c r="FS37" i="20"/>
  <c r="BX37" i="20"/>
  <c r="GH37" i="20"/>
  <c r="HL37" i="20"/>
  <c r="FD37" i="20"/>
  <c r="HA39" i="35"/>
  <c r="IE39" i="35"/>
  <c r="FH39" i="35"/>
  <c r="GL39" i="35"/>
  <c r="FW39" i="35"/>
  <c r="HP39" i="35"/>
  <c r="IT39" i="35"/>
  <c r="FE151" i="35"/>
  <c r="FP35" i="35"/>
  <c r="FA151" i="35" s="1"/>
  <c r="D74" i="34" s="1"/>
  <c r="IQ36" i="35"/>
  <c r="IM36" i="35" s="1"/>
  <c r="GI36" i="35"/>
  <c r="GE36" i="35" s="1"/>
  <c r="IB36" i="35"/>
  <c r="HX36" i="35" s="1"/>
  <c r="HM36" i="35"/>
  <c r="HI36" i="35" s="1"/>
  <c r="FE36" i="35"/>
  <c r="FA36" i="35" s="1"/>
  <c r="GX36" i="35"/>
  <c r="GT36" i="35" s="1"/>
  <c r="FT36" i="35"/>
  <c r="CX35" i="35"/>
  <c r="CW35" i="35"/>
  <c r="DR35" i="35" s="1"/>
  <c r="EJ35" i="35" s="1"/>
  <c r="EJ34" i="35"/>
  <c r="DS38" i="20"/>
  <c r="EK38" i="20" s="1"/>
  <c r="CV38" i="20"/>
  <c r="EN40" i="20"/>
  <c r="EK35" i="35"/>
  <c r="CZ34" i="35"/>
  <c r="CY34" i="35"/>
  <c r="DQ34" i="35" s="1"/>
  <c r="DS36" i="35"/>
  <c r="EK36" i="35" s="1"/>
  <c r="CV36" i="35"/>
  <c r="DU40" i="20"/>
  <c r="EM40" i="20" s="1"/>
  <c r="CT40" i="20"/>
  <c r="GY38" i="20"/>
  <c r="FF38" i="20"/>
  <c r="GJ38" i="20"/>
  <c r="IR38" i="20"/>
  <c r="IC38" i="20"/>
  <c r="FU38" i="20"/>
  <c r="HN38" i="20"/>
  <c r="EL38" i="20"/>
  <c r="DT39" i="20"/>
  <c r="CU39" i="20"/>
  <c r="DD32" i="35"/>
  <c r="DC32" i="35"/>
  <c r="DO32" i="35" s="1"/>
  <c r="EG32" i="35" s="1"/>
  <c r="HB40" i="35"/>
  <c r="HQ40" i="35"/>
  <c r="IU40" i="35"/>
  <c r="GM40" i="35"/>
  <c r="FI40" i="35"/>
  <c r="IF40" i="35"/>
  <c r="FX40" i="35"/>
  <c r="EH32" i="35"/>
  <c r="CT38" i="35"/>
  <c r="DU38" i="35"/>
  <c r="EM38" i="35" s="1"/>
  <c r="EM39" i="20"/>
  <c r="CR40" i="35"/>
  <c r="DW40" i="35"/>
  <c r="EO40" i="35" s="1"/>
  <c r="ID38" i="35"/>
  <c r="FV38" i="35"/>
  <c r="GK38" i="35"/>
  <c r="HO38" i="35"/>
  <c r="IS38" i="35"/>
  <c r="GZ38" i="35"/>
  <c r="FG38" i="35"/>
  <c r="GK39" i="20"/>
  <c r="FG39" i="20"/>
  <c r="FV39" i="20"/>
  <c r="GZ39" i="20"/>
  <c r="HO39" i="20"/>
  <c r="ID39" i="20"/>
  <c r="IS39" i="20"/>
  <c r="DF31" i="35"/>
  <c r="DG31" i="35" s="1"/>
  <c r="DM31" i="35" s="1"/>
  <c r="DE31" i="35"/>
  <c r="DN31" i="35" s="1"/>
  <c r="IR37" i="35"/>
  <c r="GY37" i="35"/>
  <c r="IC37" i="35"/>
  <c r="FU37" i="35"/>
  <c r="HN37" i="35"/>
  <c r="FF37" i="35"/>
  <c r="GJ37" i="35"/>
  <c r="DB33" i="35"/>
  <c r="DA33" i="35"/>
  <c r="DP33" i="35" s="1"/>
  <c r="GI37" i="20"/>
  <c r="HM37" i="20"/>
  <c r="FE37" i="20"/>
  <c r="GX37" i="20"/>
  <c r="FT37" i="20"/>
  <c r="IB37" i="20"/>
  <c r="IQ37" i="20"/>
  <c r="IM37" i="20" s="1"/>
  <c r="IZ37" i="20" s="1"/>
  <c r="DT37" i="35"/>
  <c r="EL37" i="35" s="1"/>
  <c r="CU37" i="35"/>
  <c r="CS39" i="35"/>
  <c r="DV39" i="35"/>
  <c r="EN39" i="35" s="1"/>
  <c r="JO34" i="35"/>
  <c r="JP34" i="35" s="1"/>
  <c r="EF34" i="20"/>
  <c r="GE34" i="20"/>
  <c r="FA150" i="20" s="1"/>
  <c r="JJ33" i="20"/>
  <c r="JK33" i="20" s="1"/>
  <c r="JA33" i="20" s="1"/>
  <c r="JF35" i="20"/>
  <c r="JG35" i="20" s="1"/>
  <c r="EC33" i="20"/>
  <c r="JJ33" i="28"/>
  <c r="JK33" i="28" s="1"/>
  <c r="JK34" i="35"/>
  <c r="JL33" i="35"/>
  <c r="DF30" i="35"/>
  <c r="DG30" i="35" s="1"/>
  <c r="DM30" i="35" s="1"/>
  <c r="DE30" i="35"/>
  <c r="DN30" i="35" s="1"/>
  <c r="JH33" i="35"/>
  <c r="JG34" i="35"/>
  <c r="JN32" i="35"/>
  <c r="JM33" i="35"/>
  <c r="EE29" i="35"/>
  <c r="JR33" i="35"/>
  <c r="JQ34" i="35"/>
  <c r="EG30" i="35"/>
  <c r="JT32" i="35"/>
  <c r="JS33" i="35"/>
  <c r="JJ32" i="35"/>
  <c r="JI33" i="35"/>
  <c r="EF29" i="35"/>
  <c r="EC28" i="35"/>
  <c r="BY35" i="20"/>
  <c r="JH33" i="28"/>
  <c r="JI33" i="28" s="1"/>
  <c r="FE152" i="28"/>
  <c r="FG154" i="28"/>
  <c r="FG153" i="28"/>
  <c r="FF152" i="28"/>
  <c r="CH35" i="20"/>
  <c r="DE35" i="20"/>
  <c r="DN35" i="20" s="1"/>
  <c r="DC35" i="20"/>
  <c r="DO35" i="20" s="1"/>
  <c r="EG35" i="20" s="1"/>
  <c r="DG35" i="20"/>
  <c r="DM35" i="20" s="1"/>
  <c r="CF35" i="20"/>
  <c r="CG35" i="20"/>
  <c r="GG35" i="20"/>
  <c r="GE35" i="20" s="1"/>
  <c r="FR35" i="20"/>
  <c r="FP35" i="20" s="1"/>
  <c r="EG34" i="28"/>
  <c r="GL40" i="28"/>
  <c r="HP40" i="28"/>
  <c r="IE40" i="28"/>
  <c r="FW40" i="28"/>
  <c r="HA40" i="28"/>
  <c r="IT40" i="28"/>
  <c r="FH40" i="28"/>
  <c r="GK39" i="28"/>
  <c r="FG39" i="28"/>
  <c r="GZ39" i="28"/>
  <c r="FV39" i="28"/>
  <c r="ID39" i="28"/>
  <c r="IS39" i="28"/>
  <c r="HO39" i="28"/>
  <c r="GL39" i="28"/>
  <c r="HA39" i="28"/>
  <c r="HP39" i="28"/>
  <c r="FH39" i="28"/>
  <c r="IE39" i="28"/>
  <c r="FW39" i="28"/>
  <c r="IT39" i="28"/>
  <c r="DS37" i="28"/>
  <c r="EK37" i="28" s="1"/>
  <c r="CV37" i="28"/>
  <c r="CX37" i="28" s="1"/>
  <c r="CZ37" i="28" s="1"/>
  <c r="DB37" i="28" s="1"/>
  <c r="DD37" i="28" s="1"/>
  <c r="DF37" i="28" s="1"/>
  <c r="GJ37" i="28"/>
  <c r="GY37" i="28"/>
  <c r="IC37" i="28"/>
  <c r="FF37" i="28"/>
  <c r="IR37" i="28"/>
  <c r="HN37" i="28"/>
  <c r="FU37" i="28"/>
  <c r="CS40" i="28"/>
  <c r="DV40" i="28"/>
  <c r="DU39" i="28"/>
  <c r="CT39" i="28"/>
  <c r="DT38" i="28"/>
  <c r="EL38" i="28" s="1"/>
  <c r="CU38" i="28"/>
  <c r="EM38" i="28"/>
  <c r="EL37" i="28"/>
  <c r="IM36" i="28"/>
  <c r="IU40" i="28"/>
  <c r="FI40" i="28"/>
  <c r="HQ40" i="28"/>
  <c r="GM40" i="28"/>
  <c r="FX40" i="28"/>
  <c r="IF40" i="28"/>
  <c r="HB40" i="28"/>
  <c r="EI34" i="28"/>
  <c r="EH34" i="28"/>
  <c r="FE151" i="28"/>
  <c r="BM37" i="20"/>
  <c r="BO36" i="20"/>
  <c r="DE36" i="20" s="1"/>
  <c r="DN36" i="20" s="1"/>
  <c r="FF151" i="28"/>
  <c r="BG39" i="28"/>
  <c r="BF40" i="28"/>
  <c r="BG40" i="28" s="1"/>
  <c r="AD9" i="28" s="1"/>
  <c r="DA35" i="28"/>
  <c r="DP35" i="28" s="1"/>
  <c r="FA150" i="28"/>
  <c r="BW39" i="28"/>
  <c r="BV40" i="28"/>
  <c r="BW40" i="28" s="1"/>
  <c r="AL9" i="28" s="1"/>
  <c r="CY35" i="28"/>
  <c r="DQ35" i="28" s="1"/>
  <c r="FA149" i="28"/>
  <c r="CW35" i="28"/>
  <c r="DR35" i="28" s="1"/>
  <c r="EJ35" i="28" s="1"/>
  <c r="JA34" i="28"/>
  <c r="HI35" i="28"/>
  <c r="BN40" i="20"/>
  <c r="BF39" i="20"/>
  <c r="BG38" i="20"/>
  <c r="BK42" i="20"/>
  <c r="JT33" i="28"/>
  <c r="JU33" i="28" s="1"/>
  <c r="HX35" i="28"/>
  <c r="IM35" i="28"/>
  <c r="GT35" i="28"/>
  <c r="EC28" i="28"/>
  <c r="EC33" i="28"/>
  <c r="JL32" i="28"/>
  <c r="JM32" i="28" s="1"/>
  <c r="JB32" i="28" s="1"/>
  <c r="JR34" i="28"/>
  <c r="JS34" i="28" s="1"/>
  <c r="DD31" i="28"/>
  <c r="DC31" i="28"/>
  <c r="DO31" i="28" s="1"/>
  <c r="DF30" i="28"/>
  <c r="DG30" i="28" s="1"/>
  <c r="DM30" i="28" s="1"/>
  <c r="DE30" i="28"/>
  <c r="DN30" i="28" s="1"/>
  <c r="DB32" i="28"/>
  <c r="DA32" i="28"/>
  <c r="DP32" i="28" s="1"/>
  <c r="JN34" i="28"/>
  <c r="JO34" i="28" s="1"/>
  <c r="EE29" i="28"/>
  <c r="EC29" i="28" s="1"/>
  <c r="EH31" i="28"/>
  <c r="EG30" i="28"/>
  <c r="JR35" i="20"/>
  <c r="JS34" i="20"/>
  <c r="EI32" i="28"/>
  <c r="JP34" i="28"/>
  <c r="JQ34" i="28" s="1"/>
  <c r="EE34" i="28"/>
  <c r="CG35" i="28"/>
  <c r="FC150" i="28"/>
  <c r="EF34" i="28"/>
  <c r="BS37" i="28"/>
  <c r="BQ38" i="28"/>
  <c r="BC37" i="28"/>
  <c r="HK37" i="28" s="1"/>
  <c r="BA38" i="28"/>
  <c r="BK37" i="28"/>
  <c r="BI38" i="28"/>
  <c r="HZ36" i="28"/>
  <c r="HX36" i="28" s="1"/>
  <c r="CE36" i="28"/>
  <c r="HK36" i="28"/>
  <c r="HI36" i="28" s="1"/>
  <c r="CC36" i="28"/>
  <c r="GV36" i="28"/>
  <c r="GT36" i="28" s="1"/>
  <c r="CW36" i="28"/>
  <c r="DR36" i="28" s="1"/>
  <c r="EJ36" i="28" s="1"/>
  <c r="CD36" i="28"/>
  <c r="CY36" i="28"/>
  <c r="DQ36" i="28" s="1"/>
  <c r="DA36" i="28"/>
  <c r="DP36" i="28" s="1"/>
  <c r="GG35" i="28"/>
  <c r="DG35" i="28"/>
  <c r="DM35" i="28" s="1"/>
  <c r="CH35" i="28"/>
  <c r="DE35" i="28"/>
  <c r="DN35" i="28" s="1"/>
  <c r="BM37" i="28"/>
  <c r="BO36" i="28"/>
  <c r="CH36" i="28" s="1"/>
  <c r="FC35" i="28"/>
  <c r="FA35" i="28" s="1"/>
  <c r="FR35" i="28"/>
  <c r="FP35" i="28" s="1"/>
  <c r="DC35" i="28"/>
  <c r="DO35" i="28" s="1"/>
  <c r="BY35" i="28"/>
  <c r="JH34" i="20"/>
  <c r="JI34" i="20" s="1"/>
  <c r="EI35" i="20"/>
  <c r="EH35" i="20"/>
  <c r="HZ36" i="20"/>
  <c r="HX36" i="20" s="1"/>
  <c r="JP36" i="20" s="1"/>
  <c r="JQ36" i="20" s="1"/>
  <c r="HK36" i="20"/>
  <c r="HI36" i="20" s="1"/>
  <c r="JN36" i="20" s="1"/>
  <c r="JO36" i="20" s="1"/>
  <c r="GV36" i="20"/>
  <c r="GT36" i="20" s="1"/>
  <c r="JL36" i="20" s="1"/>
  <c r="JM36" i="20" s="1"/>
  <c r="CD36" i="20"/>
  <c r="CC36" i="20"/>
  <c r="CE36" i="20"/>
  <c r="CW36" i="20"/>
  <c r="DR36" i="20" s="1"/>
  <c r="CY36" i="20"/>
  <c r="DQ36" i="20" s="1"/>
  <c r="DA36" i="20"/>
  <c r="DP36" i="20" s="1"/>
  <c r="BU38" i="20"/>
  <c r="BW37" i="20"/>
  <c r="BA38" i="20"/>
  <c r="BC37" i="20"/>
  <c r="BO42" i="35" l="1"/>
  <c r="BS42" i="35"/>
  <c r="FR38" i="35"/>
  <c r="FC154" i="35" s="1"/>
  <c r="CF38" i="35"/>
  <c r="BW42" i="35"/>
  <c r="FC153" i="35"/>
  <c r="HZ39" i="35"/>
  <c r="CC39" i="35"/>
  <c r="BC42" i="35"/>
  <c r="BE40" i="35"/>
  <c r="BG40" i="35" s="1"/>
  <c r="AD9" i="35" s="1"/>
  <c r="BG39" i="35"/>
  <c r="GV39" i="35" s="1"/>
  <c r="HZ40" i="35"/>
  <c r="AB9" i="35"/>
  <c r="CC40" i="35"/>
  <c r="CC44" i="35" s="1"/>
  <c r="CC46" i="35" s="1"/>
  <c r="CG38" i="35"/>
  <c r="CE38" i="35"/>
  <c r="EC34" i="20"/>
  <c r="FF154" i="20"/>
  <c r="FG155" i="20"/>
  <c r="FE153" i="20"/>
  <c r="FD153" i="20"/>
  <c r="FG154" i="35"/>
  <c r="JA32" i="35"/>
  <c r="IZ36" i="35"/>
  <c r="FF153" i="35"/>
  <c r="FI156" i="35"/>
  <c r="CX38" i="20"/>
  <c r="CZ38" i="20" s="1"/>
  <c r="DB38" i="20" s="1"/>
  <c r="DD38" i="20" s="1"/>
  <c r="DF38" i="20" s="1"/>
  <c r="FH155" i="35"/>
  <c r="EE31" i="35"/>
  <c r="BD39" i="20"/>
  <c r="GW38" i="20"/>
  <c r="FS38" i="20"/>
  <c r="GH38" i="20"/>
  <c r="HL38" i="20"/>
  <c r="BX38" i="20"/>
  <c r="FD38" i="20"/>
  <c r="JJ34" i="20"/>
  <c r="JK34" i="20" s="1"/>
  <c r="JA34" i="20" s="1"/>
  <c r="GY40" i="20"/>
  <c r="IR40" i="20"/>
  <c r="GJ40" i="20"/>
  <c r="FU40" i="20"/>
  <c r="FF40" i="20"/>
  <c r="HN40" i="20"/>
  <c r="IC40" i="20"/>
  <c r="DV40" i="35"/>
  <c r="EN40" i="35" s="1"/>
  <c r="CS40" i="35"/>
  <c r="DS39" i="20"/>
  <c r="EK39" i="20" s="1"/>
  <c r="CV39" i="20"/>
  <c r="EI34" i="35"/>
  <c r="EF31" i="35"/>
  <c r="DB34" i="35"/>
  <c r="DA34" i="35"/>
  <c r="DP34" i="35" s="1"/>
  <c r="EH34" i="35" s="1"/>
  <c r="GK39" i="35"/>
  <c r="HO39" i="35"/>
  <c r="FG39" i="35"/>
  <c r="GZ39" i="35"/>
  <c r="FV39" i="35"/>
  <c r="IS39" i="35"/>
  <c r="ID39" i="35"/>
  <c r="GY39" i="20"/>
  <c r="IR39" i="20"/>
  <c r="FF39" i="20"/>
  <c r="FU39" i="20"/>
  <c r="GJ39" i="20"/>
  <c r="HN39" i="20"/>
  <c r="IC39" i="20"/>
  <c r="FE38" i="20"/>
  <c r="GI38" i="20"/>
  <c r="IQ38" i="20"/>
  <c r="IM38" i="20" s="1"/>
  <c r="IZ38" i="20" s="1"/>
  <c r="HM38" i="20"/>
  <c r="IB38" i="20"/>
  <c r="FT38" i="20"/>
  <c r="GX38" i="20"/>
  <c r="CT39" i="35"/>
  <c r="DU39" i="35"/>
  <c r="EM39" i="35" s="1"/>
  <c r="HN38" i="35"/>
  <c r="IR38" i="35"/>
  <c r="GY38" i="35"/>
  <c r="GJ38" i="35"/>
  <c r="IC38" i="35"/>
  <c r="FF38" i="35"/>
  <c r="FU38" i="35"/>
  <c r="DT40" i="20"/>
  <c r="CU40" i="20"/>
  <c r="CZ35" i="35"/>
  <c r="CY35" i="35"/>
  <c r="DQ35" i="35" s="1"/>
  <c r="EL39" i="20"/>
  <c r="DS37" i="35"/>
  <c r="EK37" i="35" s="1"/>
  <c r="CV37" i="35"/>
  <c r="DT38" i="35"/>
  <c r="EL38" i="35" s="1"/>
  <c r="CU38" i="35"/>
  <c r="FE152" i="35"/>
  <c r="FP36" i="35"/>
  <c r="FA152" i="35" s="1"/>
  <c r="D75" i="34" s="1"/>
  <c r="GI37" i="35"/>
  <c r="GE37" i="35" s="1"/>
  <c r="HM37" i="35"/>
  <c r="HI37" i="35" s="1"/>
  <c r="FT37" i="35"/>
  <c r="GX37" i="35"/>
  <c r="GT37" i="35" s="1"/>
  <c r="FE37" i="35"/>
  <c r="FA37" i="35" s="1"/>
  <c r="IQ37" i="35"/>
  <c r="IM37" i="35" s="1"/>
  <c r="IB37" i="35"/>
  <c r="HX37" i="35" s="1"/>
  <c r="GZ40" i="20"/>
  <c r="GK40" i="20"/>
  <c r="FV40" i="20"/>
  <c r="ID40" i="20"/>
  <c r="IS40" i="20"/>
  <c r="HO40" i="20"/>
  <c r="FG40" i="20"/>
  <c r="DD33" i="35"/>
  <c r="DC33" i="35"/>
  <c r="DO33" i="35" s="1"/>
  <c r="DF32" i="35"/>
  <c r="DG32" i="35" s="1"/>
  <c r="DM32" i="35" s="1"/>
  <c r="DE32" i="35"/>
  <c r="DN32" i="35" s="1"/>
  <c r="CX36" i="35"/>
  <c r="CW36" i="35"/>
  <c r="DR36" i="35" s="1"/>
  <c r="EH33" i="35"/>
  <c r="IE40" i="35"/>
  <c r="GL40" i="35"/>
  <c r="HP40" i="35"/>
  <c r="IT40" i="35"/>
  <c r="FH40" i="35"/>
  <c r="HA40" i="35"/>
  <c r="FW40" i="35"/>
  <c r="JO35" i="35"/>
  <c r="JO36" i="35" s="1"/>
  <c r="JJ34" i="28"/>
  <c r="JK34" i="28" s="1"/>
  <c r="BY36" i="20"/>
  <c r="JH34" i="28"/>
  <c r="JI34" i="28" s="1"/>
  <c r="CH36" i="20"/>
  <c r="FC36" i="20"/>
  <c r="FA36" i="20" s="1"/>
  <c r="JF36" i="20" s="1"/>
  <c r="JG36" i="20" s="1"/>
  <c r="DC36" i="20"/>
  <c r="DO36" i="20" s="1"/>
  <c r="EF36" i="20" s="1"/>
  <c r="GG36" i="20"/>
  <c r="CF36" i="20"/>
  <c r="EE30" i="35"/>
  <c r="JR34" i="35"/>
  <c r="JQ35" i="35"/>
  <c r="EC29" i="35"/>
  <c r="JJ33" i="35"/>
  <c r="JI34" i="35"/>
  <c r="JN33" i="35"/>
  <c r="JM34" i="35"/>
  <c r="EF30" i="35"/>
  <c r="JT33" i="35"/>
  <c r="JS34" i="35"/>
  <c r="JH34" i="35"/>
  <c r="JG35" i="35"/>
  <c r="JK35" i="35"/>
  <c r="JL34" i="35"/>
  <c r="EE35" i="20"/>
  <c r="FI156" i="28"/>
  <c r="FH155" i="28"/>
  <c r="FC151" i="20"/>
  <c r="EF35" i="20"/>
  <c r="DG36" i="20"/>
  <c r="DM36" i="20" s="1"/>
  <c r="EE36" i="20" s="1"/>
  <c r="CG36" i="20"/>
  <c r="FR36" i="20"/>
  <c r="FP36" i="20" s="1"/>
  <c r="FG155" i="28"/>
  <c r="FF153" i="28"/>
  <c r="FH156" i="28"/>
  <c r="FT37" i="28"/>
  <c r="HM37" i="28"/>
  <c r="HI37" i="28" s="1"/>
  <c r="FE37" i="28"/>
  <c r="GX37" i="28"/>
  <c r="IB37" i="28"/>
  <c r="IQ37" i="28"/>
  <c r="IM37" i="28" s="1"/>
  <c r="GI37" i="28"/>
  <c r="CT40" i="28"/>
  <c r="DU40" i="28"/>
  <c r="EM40" i="28" s="1"/>
  <c r="GI38" i="28"/>
  <c r="GX38" i="28"/>
  <c r="IQ38" i="28"/>
  <c r="IB38" i="28"/>
  <c r="HM38" i="28"/>
  <c r="FT38" i="28"/>
  <c r="FE38" i="28"/>
  <c r="GY38" i="28"/>
  <c r="IC38" i="28"/>
  <c r="HN38" i="28"/>
  <c r="FU38" i="28"/>
  <c r="GJ38" i="28"/>
  <c r="IR38" i="28"/>
  <c r="FF38" i="28"/>
  <c r="DS38" i="28"/>
  <c r="EK38" i="28" s="1"/>
  <c r="CV38" i="28"/>
  <c r="CX38" i="28" s="1"/>
  <c r="CZ38" i="28" s="1"/>
  <c r="DB38" i="28" s="1"/>
  <c r="DD38" i="28" s="1"/>
  <c r="DF38" i="28" s="1"/>
  <c r="DT39" i="28"/>
  <c r="EL39" i="28" s="1"/>
  <c r="CU39" i="28"/>
  <c r="EM39" i="28"/>
  <c r="EN40" i="28"/>
  <c r="JA35" i="28"/>
  <c r="JA36" i="28" s="1"/>
  <c r="EH35" i="28"/>
  <c r="BM38" i="20"/>
  <c r="BO37" i="20"/>
  <c r="GG37" i="20" s="1"/>
  <c r="EI35" i="28"/>
  <c r="BW42" i="28"/>
  <c r="BG42" i="28"/>
  <c r="JT34" i="28"/>
  <c r="JU34" i="28" s="1"/>
  <c r="BF40" i="20"/>
  <c r="BG40" i="20" s="1"/>
  <c r="BG39" i="20"/>
  <c r="JL33" i="28"/>
  <c r="JN35" i="28"/>
  <c r="JO35" i="28" s="1"/>
  <c r="JR35" i="28"/>
  <c r="JS35" i="28" s="1"/>
  <c r="EE30" i="28"/>
  <c r="DD32" i="28"/>
  <c r="DC32" i="28"/>
  <c r="DO32" i="28" s="1"/>
  <c r="DF31" i="28"/>
  <c r="DG31" i="28" s="1"/>
  <c r="DM31" i="28" s="1"/>
  <c r="DE31" i="28"/>
  <c r="DN31" i="28" s="1"/>
  <c r="JS35" i="20"/>
  <c r="JR36" i="20"/>
  <c r="JP35" i="28"/>
  <c r="JQ35" i="28" s="1"/>
  <c r="EF30" i="28"/>
  <c r="EC34" i="28"/>
  <c r="EH32" i="28"/>
  <c r="EG31" i="28"/>
  <c r="EI36" i="28"/>
  <c r="EE35" i="28"/>
  <c r="BS38" i="28"/>
  <c r="BQ39" i="28"/>
  <c r="BK38" i="28"/>
  <c r="BI39" i="28"/>
  <c r="BC38" i="28"/>
  <c r="BA39" i="28"/>
  <c r="CY37" i="28"/>
  <c r="DQ37" i="28" s="1"/>
  <c r="HZ37" i="28"/>
  <c r="DG36" i="28"/>
  <c r="DM36" i="28" s="1"/>
  <c r="FR36" i="28"/>
  <c r="FP36" i="28" s="1"/>
  <c r="CE37" i="28"/>
  <c r="GV37" i="28"/>
  <c r="BO37" i="28"/>
  <c r="FC37" i="28" s="1"/>
  <c r="BM38" i="28"/>
  <c r="EF35" i="28"/>
  <c r="CW37" i="28"/>
  <c r="DR37" i="28" s="1"/>
  <c r="EJ37" i="28" s="1"/>
  <c r="CD37" i="28"/>
  <c r="CC37" i="28"/>
  <c r="DA37" i="28"/>
  <c r="DP37" i="28" s="1"/>
  <c r="FC151" i="28"/>
  <c r="GE35" i="28"/>
  <c r="FA151" i="28" s="1"/>
  <c r="FC36" i="28"/>
  <c r="FA36" i="28" s="1"/>
  <c r="DE36" i="28"/>
  <c r="DN36" i="28" s="1"/>
  <c r="GG36" i="28"/>
  <c r="DC36" i="28"/>
  <c r="DO36" i="28" s="1"/>
  <c r="EG36" i="28" s="1"/>
  <c r="EH36" i="28"/>
  <c r="CF36" i="28"/>
  <c r="BY36" i="28"/>
  <c r="EG35" i="28"/>
  <c r="CG36" i="28"/>
  <c r="JH35" i="20"/>
  <c r="JI35" i="20" s="1"/>
  <c r="HZ37" i="20"/>
  <c r="HX37" i="20" s="1"/>
  <c r="JP37" i="20" s="1"/>
  <c r="JQ37" i="20" s="1"/>
  <c r="HK37" i="20"/>
  <c r="HI37" i="20" s="1"/>
  <c r="JN37" i="20" s="1"/>
  <c r="JO37" i="20" s="1"/>
  <c r="GV37" i="20"/>
  <c r="GT37" i="20" s="1"/>
  <c r="JL37" i="20" s="1"/>
  <c r="JM37" i="20" s="1"/>
  <c r="CD37" i="20"/>
  <c r="CE37" i="20"/>
  <c r="CC37" i="20"/>
  <c r="CW37" i="20"/>
  <c r="DR37" i="20" s="1"/>
  <c r="EJ37" i="20" s="1"/>
  <c r="CY37" i="20"/>
  <c r="DQ37" i="20" s="1"/>
  <c r="DA37" i="20"/>
  <c r="DP37" i="20" s="1"/>
  <c r="FA151" i="20"/>
  <c r="BA39" i="20"/>
  <c r="BC38" i="20"/>
  <c r="EH36" i="20"/>
  <c r="BU39" i="20"/>
  <c r="BW38" i="20"/>
  <c r="EI36" i="20"/>
  <c r="EJ36" i="20"/>
  <c r="CH39" i="35" l="1"/>
  <c r="FC39" i="35"/>
  <c r="CF39" i="35"/>
  <c r="HK39" i="35"/>
  <c r="BY39" i="35"/>
  <c r="CD39" i="35"/>
  <c r="CG39" i="35"/>
  <c r="CE40" i="35"/>
  <c r="CE44" i="35" s="1"/>
  <c r="CE46" i="35" s="1"/>
  <c r="FR39" i="35"/>
  <c r="FC40" i="35"/>
  <c r="CF40" i="35"/>
  <c r="CF44" i="35" s="1"/>
  <c r="CF46" i="35" s="1"/>
  <c r="FR40" i="35"/>
  <c r="CD40" i="35"/>
  <c r="CD44" i="35" s="1"/>
  <c r="CD46" i="35" s="1"/>
  <c r="BY40" i="35"/>
  <c r="GG39" i="35"/>
  <c r="CH40" i="35"/>
  <c r="CH44" i="35" s="1"/>
  <c r="CH46" i="35" s="1"/>
  <c r="HK40" i="35"/>
  <c r="CG40" i="35"/>
  <c r="CG44" i="35" s="1"/>
  <c r="CG46" i="35" s="1"/>
  <c r="GV40" i="35"/>
  <c r="CD42" i="35"/>
  <c r="CE39" i="35"/>
  <c r="GG40" i="35"/>
  <c r="BG42" i="35"/>
  <c r="CF42" i="35" s="1"/>
  <c r="FF155" i="20"/>
  <c r="FE154" i="20"/>
  <c r="IZ37" i="35"/>
  <c r="FC152" i="20"/>
  <c r="FD154" i="20"/>
  <c r="FF156" i="20"/>
  <c r="FG156" i="20"/>
  <c r="EC31" i="35"/>
  <c r="JJ35" i="20"/>
  <c r="JK35" i="20" s="1"/>
  <c r="JA35" i="20" s="1"/>
  <c r="CX39" i="20"/>
  <c r="CZ39" i="20" s="1"/>
  <c r="DB39" i="20" s="1"/>
  <c r="DD39" i="20" s="1"/>
  <c r="DF39" i="20" s="1"/>
  <c r="FF154" i="35"/>
  <c r="FH156" i="35"/>
  <c r="FG155" i="35"/>
  <c r="JA33" i="35"/>
  <c r="BD40" i="20"/>
  <c r="BX39" i="20"/>
  <c r="FD39" i="20"/>
  <c r="FS39" i="20"/>
  <c r="HL39" i="20"/>
  <c r="GW39" i="20"/>
  <c r="GH39" i="20"/>
  <c r="EE32" i="35"/>
  <c r="EF32" i="35"/>
  <c r="FE153" i="35"/>
  <c r="FP37" i="35"/>
  <c r="FA153" i="35" s="1"/>
  <c r="D76" i="34" s="1"/>
  <c r="IB39" i="20"/>
  <c r="FE39" i="20"/>
  <c r="HM39" i="20"/>
  <c r="GI39" i="20"/>
  <c r="GX39" i="20"/>
  <c r="IQ39" i="20"/>
  <c r="IM39" i="20" s="1"/>
  <c r="IZ39" i="20" s="1"/>
  <c r="FT39" i="20"/>
  <c r="DF33" i="35"/>
  <c r="DG33" i="35" s="1"/>
  <c r="DM33" i="35" s="1"/>
  <c r="DE33" i="35"/>
  <c r="DN33" i="35" s="1"/>
  <c r="EG33" i="35"/>
  <c r="DB35" i="35"/>
  <c r="DA35" i="35"/>
  <c r="DP35" i="35" s="1"/>
  <c r="EH35" i="35" s="1"/>
  <c r="EJ36" i="35"/>
  <c r="DS40" i="20"/>
  <c r="EK40" i="20" s="1"/>
  <c r="CV40" i="20"/>
  <c r="CZ36" i="35"/>
  <c r="CY36" i="35"/>
  <c r="DQ36" i="35" s="1"/>
  <c r="EI36" i="35" s="1"/>
  <c r="DS38" i="35"/>
  <c r="EK38" i="35" s="1"/>
  <c r="CV38" i="35"/>
  <c r="EL40" i="20"/>
  <c r="HN39" i="35"/>
  <c r="IR39" i="35"/>
  <c r="GY39" i="35"/>
  <c r="FF39" i="35"/>
  <c r="IC39" i="35"/>
  <c r="FU39" i="35"/>
  <c r="GJ39" i="35"/>
  <c r="CT40" i="35"/>
  <c r="DU40" i="35"/>
  <c r="FT38" i="35"/>
  <c r="GI38" i="35"/>
  <c r="GE38" i="35" s="1"/>
  <c r="FE38" i="35"/>
  <c r="FA38" i="35" s="1"/>
  <c r="GX38" i="35"/>
  <c r="GT38" i="35" s="1"/>
  <c r="IB38" i="35"/>
  <c r="HX38" i="35" s="1"/>
  <c r="HM38" i="35"/>
  <c r="HI38" i="35" s="1"/>
  <c r="IQ38" i="35"/>
  <c r="IM38" i="35" s="1"/>
  <c r="DT39" i="35"/>
  <c r="EL39" i="35" s="1"/>
  <c r="CU39" i="35"/>
  <c r="DD34" i="35"/>
  <c r="DC34" i="35"/>
  <c r="DO34" i="35" s="1"/>
  <c r="EG34" i="35" s="1"/>
  <c r="IS40" i="35"/>
  <c r="GZ40" i="35"/>
  <c r="ID40" i="35"/>
  <c r="GK40" i="35"/>
  <c r="FG40" i="35"/>
  <c r="HO40" i="35"/>
  <c r="FV40" i="35"/>
  <c r="CX37" i="35"/>
  <c r="CW37" i="35"/>
  <c r="DR37" i="35" s="1"/>
  <c r="EI35" i="35"/>
  <c r="JP35" i="35"/>
  <c r="JJ35" i="28"/>
  <c r="JK35" i="28" s="1"/>
  <c r="EG36" i="20"/>
  <c r="EC36" i="20" s="1"/>
  <c r="GE36" i="20"/>
  <c r="FA152" i="20" s="1"/>
  <c r="JH35" i="28"/>
  <c r="JI35" i="28" s="1"/>
  <c r="CF37" i="20"/>
  <c r="EC35" i="20"/>
  <c r="JL35" i="35"/>
  <c r="JK36" i="35"/>
  <c r="JJ34" i="35"/>
  <c r="JI35" i="35"/>
  <c r="JH35" i="35"/>
  <c r="JG36" i="35"/>
  <c r="JS35" i="35"/>
  <c r="JT34" i="35"/>
  <c r="JO37" i="35"/>
  <c r="JP36" i="35"/>
  <c r="JR35" i="35"/>
  <c r="JQ36" i="35"/>
  <c r="JN34" i="35"/>
  <c r="JM35" i="35"/>
  <c r="EC30" i="35"/>
  <c r="FC37" i="20"/>
  <c r="FA37" i="20" s="1"/>
  <c r="JF37" i="20" s="1"/>
  <c r="JG37" i="20" s="1"/>
  <c r="FR37" i="20"/>
  <c r="FP37" i="20" s="1"/>
  <c r="DE37" i="20"/>
  <c r="DN37" i="20" s="1"/>
  <c r="DC37" i="20"/>
  <c r="DO37" i="20" s="1"/>
  <c r="EG37" i="20" s="1"/>
  <c r="CG37" i="20"/>
  <c r="BY37" i="20"/>
  <c r="DG37" i="20"/>
  <c r="DM37" i="20" s="1"/>
  <c r="CH37" i="20"/>
  <c r="FE153" i="28"/>
  <c r="GT37" i="28"/>
  <c r="FE154" i="28"/>
  <c r="FF154" i="28"/>
  <c r="HX37" i="28"/>
  <c r="CW38" i="28"/>
  <c r="DR38" i="28" s="1"/>
  <c r="EJ38" i="28" s="1"/>
  <c r="FA37" i="28"/>
  <c r="IM38" i="28"/>
  <c r="JA37" i="28"/>
  <c r="GJ40" i="28"/>
  <c r="FF40" i="28"/>
  <c r="IR40" i="28"/>
  <c r="FU40" i="28"/>
  <c r="GY40" i="28"/>
  <c r="HN40" i="28"/>
  <c r="IC40" i="28"/>
  <c r="DT40" i="28"/>
  <c r="EL40" i="28" s="1"/>
  <c r="CU40" i="28"/>
  <c r="FG40" i="28"/>
  <c r="GZ40" i="28"/>
  <c r="ID40" i="28"/>
  <c r="HO40" i="28"/>
  <c r="GK40" i="28"/>
  <c r="IS40" i="28"/>
  <c r="FV40" i="28"/>
  <c r="GX39" i="28"/>
  <c r="IQ39" i="28"/>
  <c r="HM39" i="28"/>
  <c r="FT39" i="28"/>
  <c r="FE39" i="28"/>
  <c r="GI39" i="28"/>
  <c r="IB39" i="28"/>
  <c r="HN39" i="28"/>
  <c r="GY39" i="28"/>
  <c r="IC39" i="28"/>
  <c r="IR39" i="28"/>
  <c r="FF39" i="28"/>
  <c r="GJ39" i="28"/>
  <c r="FU39" i="28"/>
  <c r="DS39" i="28"/>
  <c r="EK39" i="28" s="1"/>
  <c r="CV39" i="28"/>
  <c r="CX39" i="28" s="1"/>
  <c r="CZ39" i="28" s="1"/>
  <c r="DB39" i="28" s="1"/>
  <c r="DD39" i="28" s="1"/>
  <c r="DF39" i="28" s="1"/>
  <c r="JT35" i="28"/>
  <c r="JT36" i="28" s="1"/>
  <c r="BM39" i="20"/>
  <c r="BO38" i="20"/>
  <c r="FC38" i="20" s="1"/>
  <c r="FA38" i="20" s="1"/>
  <c r="AD9" i="20"/>
  <c r="BG42" i="20"/>
  <c r="JM33" i="28"/>
  <c r="JB33" i="28" s="1"/>
  <c r="JL34" i="28"/>
  <c r="JM34" i="28" s="1"/>
  <c r="JB34" i="28" s="1"/>
  <c r="JN36" i="28"/>
  <c r="JO36" i="28" s="1"/>
  <c r="JR36" i="28"/>
  <c r="JS36" i="28" s="1"/>
  <c r="CD38" i="28"/>
  <c r="HZ38" i="28"/>
  <c r="HX38" i="28" s="1"/>
  <c r="HK38" i="28"/>
  <c r="HI38" i="28" s="1"/>
  <c r="JP36" i="28"/>
  <c r="JQ36" i="28" s="1"/>
  <c r="CC38" i="28"/>
  <c r="EE31" i="28"/>
  <c r="DF32" i="28"/>
  <c r="DG32" i="28" s="1"/>
  <c r="DM32" i="28" s="1"/>
  <c r="DE32" i="28"/>
  <c r="DN32" i="28" s="1"/>
  <c r="EF31" i="28"/>
  <c r="EG32" i="28"/>
  <c r="CE38" i="28"/>
  <c r="GV38" i="28"/>
  <c r="GT38" i="28" s="1"/>
  <c r="JS36" i="20"/>
  <c r="JR37" i="20"/>
  <c r="EC30" i="28"/>
  <c r="EH37" i="28"/>
  <c r="BK39" i="28"/>
  <c r="BI40" i="28"/>
  <c r="BK40" i="28" s="1"/>
  <c r="AF9" i="28" s="1"/>
  <c r="BS39" i="28"/>
  <c r="BQ40" i="28"/>
  <c r="BS40" i="28" s="1"/>
  <c r="AJ9" i="28" s="1"/>
  <c r="BC39" i="28"/>
  <c r="CC39" i="28" s="1"/>
  <c r="BA40" i="28"/>
  <c r="BC40" i="28" s="1"/>
  <c r="CY38" i="28"/>
  <c r="DQ38" i="28" s="1"/>
  <c r="DA38" i="28"/>
  <c r="DP38" i="28" s="1"/>
  <c r="EI37" i="28"/>
  <c r="CF37" i="28"/>
  <c r="CH37" i="28"/>
  <c r="BO38" i="28"/>
  <c r="CH38" i="28" s="1"/>
  <c r="BM39" i="28"/>
  <c r="BY37" i="28"/>
  <c r="CG37" i="28"/>
  <c r="DG37" i="28"/>
  <c r="DM37" i="28" s="1"/>
  <c r="FR37" i="28"/>
  <c r="FP37" i="28" s="1"/>
  <c r="DE37" i="28"/>
  <c r="DN37" i="28" s="1"/>
  <c r="EC35" i="28"/>
  <c r="GG37" i="28"/>
  <c r="DC37" i="28"/>
  <c r="DO37" i="28" s="1"/>
  <c r="EF36" i="28"/>
  <c r="EE36" i="28"/>
  <c r="FC152" i="28"/>
  <c r="GE36" i="28"/>
  <c r="FA152" i="28" s="1"/>
  <c r="JH36" i="20"/>
  <c r="JI36" i="20" s="1"/>
  <c r="GE37" i="20"/>
  <c r="BU40" i="20"/>
  <c r="BW40" i="20" s="1"/>
  <c r="BW39" i="20"/>
  <c r="HZ38" i="20"/>
  <c r="HX38" i="20" s="1"/>
  <c r="JP38" i="20" s="1"/>
  <c r="GV38" i="20"/>
  <c r="GT38" i="20" s="1"/>
  <c r="JL38" i="20" s="1"/>
  <c r="JM38" i="20" s="1"/>
  <c r="HK38" i="20"/>
  <c r="HI38" i="20" s="1"/>
  <c r="JN38" i="20" s="1"/>
  <c r="JO38" i="20" s="1"/>
  <c r="CE38" i="20"/>
  <c r="CD38" i="20"/>
  <c r="CC38" i="20"/>
  <c r="CW38" i="20"/>
  <c r="DR38" i="20" s="1"/>
  <c r="EJ38" i="20" s="1"/>
  <c r="CY38" i="20"/>
  <c r="DQ38" i="20" s="1"/>
  <c r="DA38" i="20"/>
  <c r="DP38" i="20" s="1"/>
  <c r="BA40" i="20"/>
  <c r="BC40" i="20" s="1"/>
  <c r="BC39" i="20"/>
  <c r="EI37" i="20"/>
  <c r="EH37" i="20"/>
  <c r="FC155" i="35" l="1"/>
  <c r="CH42" i="35"/>
  <c r="CE42" i="35"/>
  <c r="CG42" i="35"/>
  <c r="FC156" i="35"/>
  <c r="Y9" i="35"/>
  <c r="AN9" i="35"/>
  <c r="IZ38" i="35"/>
  <c r="FC153" i="20"/>
  <c r="FG156" i="35"/>
  <c r="FE155" i="20"/>
  <c r="FD155" i="20"/>
  <c r="CX40" i="20"/>
  <c r="CZ40" i="20" s="1"/>
  <c r="DB40" i="20" s="1"/>
  <c r="DD40" i="20" s="1"/>
  <c r="DF40" i="20" s="1"/>
  <c r="JJ36" i="20"/>
  <c r="JK36" i="20" s="1"/>
  <c r="JA36" i="20" s="1"/>
  <c r="EC32" i="35"/>
  <c r="FF155" i="35"/>
  <c r="AC9" i="20"/>
  <c r="BD42" i="20"/>
  <c r="FS40" i="20"/>
  <c r="GW40" i="20"/>
  <c r="FD40" i="20"/>
  <c r="BX40" i="20"/>
  <c r="GH40" i="20"/>
  <c r="HL40" i="20"/>
  <c r="JA34" i="35"/>
  <c r="EE33" i="35"/>
  <c r="DF34" i="35"/>
  <c r="DG34" i="35" s="1"/>
  <c r="DM34" i="35" s="1"/>
  <c r="DE34" i="35"/>
  <c r="DN34" i="35" s="1"/>
  <c r="EF34" i="35" s="1"/>
  <c r="DS39" i="35"/>
  <c r="CV39" i="35"/>
  <c r="FE154" i="35"/>
  <c r="FP38" i="35"/>
  <c r="FA154" i="35" s="1"/>
  <c r="D77" i="34" s="1"/>
  <c r="DB36" i="35"/>
  <c r="DA36" i="35"/>
  <c r="DP36" i="35" s="1"/>
  <c r="EH36" i="35" s="1"/>
  <c r="HM39" i="35"/>
  <c r="HI39" i="35" s="1"/>
  <c r="GX39" i="35"/>
  <c r="GT39" i="35" s="1"/>
  <c r="GI39" i="35"/>
  <c r="GE39" i="35" s="1"/>
  <c r="FE39" i="35"/>
  <c r="FA39" i="35" s="1"/>
  <c r="IB39" i="35"/>
  <c r="HX39" i="35" s="1"/>
  <c r="FT39" i="35"/>
  <c r="IQ39" i="35"/>
  <c r="IM39" i="35" s="1"/>
  <c r="EM40" i="35"/>
  <c r="DT40" i="35"/>
  <c r="EL40" i="35" s="1"/>
  <c r="CU40" i="35"/>
  <c r="EF33" i="35"/>
  <c r="FE40" i="20"/>
  <c r="IB40" i="20"/>
  <c r="HM40" i="20"/>
  <c r="IQ40" i="20"/>
  <c r="IM40" i="20" s="1"/>
  <c r="GX40" i="20"/>
  <c r="FT40" i="20"/>
  <c r="GI40" i="20"/>
  <c r="EJ37" i="35"/>
  <c r="CX38" i="35"/>
  <c r="CW38" i="35"/>
  <c r="DR38" i="35" s="1"/>
  <c r="CZ37" i="35"/>
  <c r="CY37" i="35"/>
  <c r="DQ37" i="35" s="1"/>
  <c r="EI37" i="35" s="1"/>
  <c r="DD35" i="35"/>
  <c r="DC35" i="35"/>
  <c r="DO35" i="35" s="1"/>
  <c r="JJ36" i="28"/>
  <c r="JK36" i="28" s="1"/>
  <c r="JF38" i="20"/>
  <c r="JG38" i="20" s="1"/>
  <c r="EE37" i="20"/>
  <c r="BY38" i="20"/>
  <c r="GG38" i="20"/>
  <c r="GE38" i="20" s="1"/>
  <c r="JH36" i="28"/>
  <c r="JI36" i="28" s="1"/>
  <c r="JT35" i="35"/>
  <c r="JS36" i="35"/>
  <c r="JN35" i="35"/>
  <c r="JM36" i="35"/>
  <c r="JH36" i="35"/>
  <c r="JG37" i="35"/>
  <c r="JQ37" i="35"/>
  <c r="JR36" i="35"/>
  <c r="JJ35" i="35"/>
  <c r="JI36" i="35"/>
  <c r="JL36" i="35"/>
  <c r="JK37" i="35"/>
  <c r="JP37" i="35"/>
  <c r="JO38" i="35"/>
  <c r="JA38" i="28"/>
  <c r="EF37" i="20"/>
  <c r="CG38" i="20"/>
  <c r="DG38" i="20"/>
  <c r="DM38" i="20" s="1"/>
  <c r="FF156" i="28"/>
  <c r="FF155" i="28"/>
  <c r="FE155" i="28"/>
  <c r="FG156" i="28"/>
  <c r="DC38" i="20"/>
  <c r="DO38" i="20" s="1"/>
  <c r="EG38" i="20" s="1"/>
  <c r="DE38" i="20"/>
  <c r="DN38" i="20" s="1"/>
  <c r="FR38" i="20"/>
  <c r="FP38" i="20" s="1"/>
  <c r="CF38" i="20"/>
  <c r="CH38" i="20"/>
  <c r="EI38" i="28"/>
  <c r="JU35" i="28"/>
  <c r="GI40" i="28"/>
  <c r="IB40" i="28"/>
  <c r="FT40" i="28"/>
  <c r="IQ40" i="28"/>
  <c r="IM40" i="28" s="1"/>
  <c r="IX40" i="28" s="1"/>
  <c r="GX40" i="28"/>
  <c r="FE40" i="28"/>
  <c r="HM40" i="28"/>
  <c r="IM39" i="28"/>
  <c r="DS40" i="28"/>
  <c r="EK40" i="28" s="1"/>
  <c r="CV40" i="28"/>
  <c r="CX40" i="28" s="1"/>
  <c r="CZ40" i="28" s="1"/>
  <c r="DB40" i="28" s="1"/>
  <c r="DD40" i="28" s="1"/>
  <c r="DF40" i="28" s="1"/>
  <c r="BM40" i="20"/>
  <c r="BO40" i="20" s="1"/>
  <c r="AH9" i="20" s="1"/>
  <c r="BO39" i="20"/>
  <c r="BY39" i="20" s="1"/>
  <c r="JL35" i="28"/>
  <c r="JM35" i="28" s="1"/>
  <c r="JB35" i="28" s="1"/>
  <c r="JN37" i="28"/>
  <c r="JO37" i="28" s="1"/>
  <c r="JR37" i="28"/>
  <c r="EH38" i="28"/>
  <c r="EE32" i="28"/>
  <c r="JP37" i="28"/>
  <c r="BK42" i="28"/>
  <c r="JU36" i="28"/>
  <c r="JT37" i="28"/>
  <c r="JR38" i="20"/>
  <c r="JS37" i="20"/>
  <c r="EF32" i="28"/>
  <c r="EC31" i="28"/>
  <c r="BS42" i="28"/>
  <c r="CY39" i="28"/>
  <c r="DQ39" i="28" s="1"/>
  <c r="HZ39" i="28"/>
  <c r="HX39" i="28" s="1"/>
  <c r="DC38" i="28"/>
  <c r="DO38" i="28" s="1"/>
  <c r="EG38" i="28" s="1"/>
  <c r="HK39" i="28"/>
  <c r="HI39" i="28" s="1"/>
  <c r="CW39" i="28"/>
  <c r="DR39" i="28" s="1"/>
  <c r="EJ39" i="28" s="1"/>
  <c r="GV39" i="28"/>
  <c r="GT39" i="28" s="1"/>
  <c r="CE39" i="28"/>
  <c r="CD39" i="28"/>
  <c r="DA39" i="28"/>
  <c r="DP39" i="28" s="1"/>
  <c r="CC40" i="28"/>
  <c r="CC44" i="28" s="1"/>
  <c r="CC46" i="28" s="1"/>
  <c r="CD40" i="28"/>
  <c r="CD44" i="28" s="1"/>
  <c r="CD46" i="28" s="1"/>
  <c r="CE40" i="28"/>
  <c r="CE44" i="28" s="1"/>
  <c r="CE46" i="28" s="1"/>
  <c r="HZ40" i="28"/>
  <c r="HK40" i="28"/>
  <c r="AB9" i="28"/>
  <c r="AB12" i="28" s="1"/>
  <c r="AD12" i="28" s="1"/>
  <c r="AF12" i="28" s="1"/>
  <c r="GV40" i="28"/>
  <c r="BO39" i="28"/>
  <c r="DG39" i="28" s="1"/>
  <c r="DM39" i="28" s="1"/>
  <c r="BM40" i="28"/>
  <c r="BO40" i="28" s="1"/>
  <c r="AH9" i="28" s="1"/>
  <c r="BC42" i="28"/>
  <c r="FR38" i="28"/>
  <c r="FP38" i="28" s="1"/>
  <c r="CF38" i="28"/>
  <c r="EE37" i="28"/>
  <c r="FC38" i="28"/>
  <c r="FA38" i="28" s="1"/>
  <c r="BY38" i="28"/>
  <c r="GG38" i="28"/>
  <c r="CG38" i="28"/>
  <c r="DG38" i="28"/>
  <c r="DM38" i="28" s="1"/>
  <c r="DE38" i="28"/>
  <c r="DN38" i="28" s="1"/>
  <c r="EC36" i="28"/>
  <c r="FC153" i="28"/>
  <c r="GE37" i="28"/>
  <c r="FA153" i="28" s="1"/>
  <c r="EG37" i="28"/>
  <c r="EF37" i="28"/>
  <c r="JH37" i="20"/>
  <c r="JI37" i="20" s="1"/>
  <c r="EI38" i="20"/>
  <c r="EH38" i="20"/>
  <c r="FA153" i="20"/>
  <c r="JJ37" i="20"/>
  <c r="JK37" i="20" s="1"/>
  <c r="HZ40" i="20"/>
  <c r="AB9" i="20"/>
  <c r="HK40" i="20"/>
  <c r="GV40" i="20"/>
  <c r="BC42" i="20"/>
  <c r="CC40" i="20"/>
  <c r="CC44" i="20" s="1"/>
  <c r="CC46" i="20" s="1"/>
  <c r="CE40" i="20"/>
  <c r="CE44" i="20" s="1"/>
  <c r="CE46" i="20" s="1"/>
  <c r="CD40" i="20"/>
  <c r="CD44" i="20" s="1"/>
  <c r="CD46" i="20" s="1"/>
  <c r="CW40" i="20"/>
  <c r="DR40" i="20" s="1"/>
  <c r="EJ40" i="20" s="1"/>
  <c r="HZ39" i="20"/>
  <c r="HX39" i="20" s="1"/>
  <c r="JP39" i="20" s="1"/>
  <c r="JQ39" i="20" s="1"/>
  <c r="GV39" i="20"/>
  <c r="GT39" i="20" s="1"/>
  <c r="JL39" i="20" s="1"/>
  <c r="JM39" i="20" s="1"/>
  <c r="HK39" i="20"/>
  <c r="HI39" i="20" s="1"/>
  <c r="JN39" i="20" s="1"/>
  <c r="JO39" i="20" s="1"/>
  <c r="CE39" i="20"/>
  <c r="CC39" i="20"/>
  <c r="CD39" i="20"/>
  <c r="CW39" i="20"/>
  <c r="DR39" i="20" s="1"/>
  <c r="CY39" i="20"/>
  <c r="DQ39" i="20" s="1"/>
  <c r="DA39" i="20"/>
  <c r="DP39" i="20" s="1"/>
  <c r="JQ38" i="20"/>
  <c r="AL9" i="20"/>
  <c r="BW42" i="20"/>
  <c r="Z12" i="35" l="1"/>
  <c r="Y10" i="35"/>
  <c r="JA37" i="20"/>
  <c r="IZ39" i="35"/>
  <c r="CY40" i="20"/>
  <c r="DQ40" i="20" s="1"/>
  <c r="EI40" i="20" s="1"/>
  <c r="DA40" i="20"/>
  <c r="DP40" i="20" s="1"/>
  <c r="FD156" i="20"/>
  <c r="FE156" i="20"/>
  <c r="EC33" i="35"/>
  <c r="GT40" i="20"/>
  <c r="JA35" i="35"/>
  <c r="AM9" i="20"/>
  <c r="X9" i="20"/>
  <c r="X10" i="20" s="1"/>
  <c r="EE34" i="35"/>
  <c r="EC34" i="35" s="1"/>
  <c r="HI40" i="20"/>
  <c r="HX40" i="20"/>
  <c r="IQ40" i="35"/>
  <c r="FE40" i="35"/>
  <c r="GI40" i="35"/>
  <c r="HM40" i="35"/>
  <c r="FT40" i="35"/>
  <c r="GX40" i="35"/>
  <c r="IB40" i="35"/>
  <c r="FE155" i="35"/>
  <c r="FP39" i="35"/>
  <c r="FA155" i="35" s="1"/>
  <c r="D78" i="34" s="1"/>
  <c r="DF35" i="35"/>
  <c r="DG35" i="35" s="1"/>
  <c r="DM35" i="35" s="1"/>
  <c r="DE35" i="35"/>
  <c r="DN35" i="35" s="1"/>
  <c r="DS40" i="35"/>
  <c r="EK40" i="35" s="1"/>
  <c r="CV40" i="35"/>
  <c r="CX39" i="35"/>
  <c r="CW39" i="35"/>
  <c r="DR39" i="35" s="1"/>
  <c r="EK39" i="35"/>
  <c r="DB37" i="35"/>
  <c r="DA37" i="35"/>
  <c r="DP37" i="35" s="1"/>
  <c r="EG35" i="35"/>
  <c r="EJ38" i="35"/>
  <c r="IR40" i="35"/>
  <c r="IC40" i="35"/>
  <c r="FF40" i="35"/>
  <c r="GJ40" i="35"/>
  <c r="FU40" i="35"/>
  <c r="HN40" i="35"/>
  <c r="GY40" i="35"/>
  <c r="CZ38" i="35"/>
  <c r="CY38" i="35"/>
  <c r="DQ38" i="35" s="1"/>
  <c r="DD36" i="35"/>
  <c r="DC36" i="35"/>
  <c r="DO36" i="35" s="1"/>
  <c r="EE38" i="20"/>
  <c r="JA39" i="28"/>
  <c r="EC37" i="20"/>
  <c r="JJ37" i="28"/>
  <c r="JK37" i="28" s="1"/>
  <c r="FC154" i="20"/>
  <c r="JH37" i="28"/>
  <c r="JI37" i="28" s="1"/>
  <c r="JR37" i="35"/>
  <c r="JQ38" i="35"/>
  <c r="JP38" i="35"/>
  <c r="JO39" i="35"/>
  <c r="JP39" i="35" s="1"/>
  <c r="JH37" i="35"/>
  <c r="JG38" i="35"/>
  <c r="JL37" i="35"/>
  <c r="JK38" i="35"/>
  <c r="JN36" i="35"/>
  <c r="JM37" i="35"/>
  <c r="JJ36" i="35"/>
  <c r="JI37" i="35"/>
  <c r="JT36" i="35"/>
  <c r="JS37" i="35"/>
  <c r="DC40" i="20"/>
  <c r="DO40" i="20" s="1"/>
  <c r="CH40" i="20"/>
  <c r="CH44" i="20" s="1"/>
  <c r="CH46" i="20" s="1"/>
  <c r="FR40" i="20"/>
  <c r="FP40" i="20" s="1"/>
  <c r="CF40" i="20"/>
  <c r="CF44" i="20" s="1"/>
  <c r="CF46" i="20" s="1"/>
  <c r="GG40" i="20"/>
  <c r="FC40" i="20"/>
  <c r="FA40" i="20" s="1"/>
  <c r="DG40" i="20"/>
  <c r="DM40" i="20" s="1"/>
  <c r="DE40" i="20"/>
  <c r="DN40" i="20" s="1"/>
  <c r="CG40" i="20"/>
  <c r="CG44" i="20" s="1"/>
  <c r="CG46" i="20" s="1"/>
  <c r="BY40" i="20"/>
  <c r="AN9" i="20" s="1"/>
  <c r="EF38" i="20"/>
  <c r="FE156" i="28"/>
  <c r="BO42" i="20"/>
  <c r="CH42" i="20" s="1"/>
  <c r="DG39" i="20"/>
  <c r="DM39" i="20" s="1"/>
  <c r="CG39" i="20"/>
  <c r="CF39" i="20"/>
  <c r="CH39" i="20"/>
  <c r="DE39" i="20"/>
  <c r="DN39" i="20" s="1"/>
  <c r="DC39" i="20"/>
  <c r="DO39" i="20" s="1"/>
  <c r="EG39" i="20" s="1"/>
  <c r="FC39" i="20"/>
  <c r="FA39" i="20" s="1"/>
  <c r="JF39" i="20" s="1"/>
  <c r="JG39" i="20" s="1"/>
  <c r="FR39" i="20"/>
  <c r="FP39" i="20" s="1"/>
  <c r="GG39" i="20"/>
  <c r="GE39" i="20" s="1"/>
  <c r="GT40" i="28"/>
  <c r="HE40" i="28" s="1"/>
  <c r="DA40" i="28"/>
  <c r="DP40" i="28" s="1"/>
  <c r="CY40" i="28"/>
  <c r="DQ40" i="28" s="1"/>
  <c r="CW40" i="28"/>
  <c r="DR40" i="28" s="1"/>
  <c r="EJ40" i="28" s="1"/>
  <c r="HX40" i="28"/>
  <c r="II40" i="28" s="1"/>
  <c r="HI40" i="28"/>
  <c r="HT40" i="28" s="1"/>
  <c r="EC32" i="28"/>
  <c r="JL36" i="28"/>
  <c r="JM36" i="28" s="1"/>
  <c r="JB36" i="28" s="1"/>
  <c r="JN38" i="28"/>
  <c r="JO38" i="28" s="1"/>
  <c r="EH39" i="28"/>
  <c r="CF42" i="28"/>
  <c r="JS37" i="28"/>
  <c r="JR38" i="28"/>
  <c r="JS38" i="28" s="1"/>
  <c r="EF38" i="28"/>
  <c r="JP38" i="28"/>
  <c r="JQ37" i="28"/>
  <c r="DE39" i="28"/>
  <c r="DN39" i="28" s="1"/>
  <c r="EE39" i="28" s="1"/>
  <c r="JS38" i="20"/>
  <c r="JR39" i="20"/>
  <c r="JS39" i="20" s="1"/>
  <c r="JU37" i="28"/>
  <c r="JT38" i="28"/>
  <c r="CF39" i="28"/>
  <c r="CH39" i="28"/>
  <c r="GG39" i="28"/>
  <c r="DC39" i="28"/>
  <c r="DO39" i="28" s="1"/>
  <c r="EG39" i="28" s="1"/>
  <c r="FR39" i="28"/>
  <c r="FP39" i="28" s="1"/>
  <c r="EI39" i="28"/>
  <c r="FC39" i="28"/>
  <c r="FA39" i="28" s="1"/>
  <c r="BY39" i="28"/>
  <c r="CG39" i="28"/>
  <c r="BY40" i="28"/>
  <c r="DG40" i="28"/>
  <c r="DM40" i="28" s="1"/>
  <c r="FR40" i="28"/>
  <c r="FP40" i="28" s="1"/>
  <c r="GA40" i="28" s="1"/>
  <c r="DE40" i="28"/>
  <c r="DN40" i="28" s="1"/>
  <c r="FC40" i="28"/>
  <c r="FA40" i="28" s="1"/>
  <c r="FL40" i="28" s="1"/>
  <c r="BO42" i="28"/>
  <c r="CH42" i="28" s="1"/>
  <c r="DC40" i="28"/>
  <c r="DO40" i="28" s="1"/>
  <c r="GG40" i="28"/>
  <c r="CF40" i="28"/>
  <c r="CF44" i="28" s="1"/>
  <c r="CF46" i="28" s="1"/>
  <c r="CH40" i="28"/>
  <c r="CH44" i="28" s="1"/>
  <c r="CH46" i="28" s="1"/>
  <c r="CD42" i="28"/>
  <c r="CE42" i="28"/>
  <c r="CG40" i="28"/>
  <c r="CG44" i="28" s="1"/>
  <c r="CG46" i="28" s="1"/>
  <c r="AH12" i="28"/>
  <c r="AJ12" i="28" s="1"/>
  <c r="AL12" i="28" s="1"/>
  <c r="AM12" i="28" s="1"/>
  <c r="EC37" i="28"/>
  <c r="FC154" i="28"/>
  <c r="GE38" i="28"/>
  <c r="FA154" i="28" s="1"/>
  <c r="EE38" i="28"/>
  <c r="JH38" i="20"/>
  <c r="JI38" i="20" s="1"/>
  <c r="EH39" i="20"/>
  <c r="EI39" i="20"/>
  <c r="EJ39" i="20"/>
  <c r="CE42" i="20"/>
  <c r="CD42" i="20"/>
  <c r="CF42" i="20"/>
  <c r="FA154" i="20"/>
  <c r="JJ38" i="20"/>
  <c r="JK38" i="20" s="1"/>
  <c r="EH40" i="20" l="1"/>
  <c r="JA38" i="20"/>
  <c r="EG40" i="20"/>
  <c r="JA36" i="35"/>
  <c r="FC156" i="20"/>
  <c r="FF156" i="35"/>
  <c r="EE35" i="35"/>
  <c r="EF35" i="35"/>
  <c r="HX40" i="35"/>
  <c r="CZ39" i="35"/>
  <c r="CY39" i="35"/>
  <c r="DQ39" i="35" s="1"/>
  <c r="CX40" i="35"/>
  <c r="CW40" i="35"/>
  <c r="DR40" i="35" s="1"/>
  <c r="GT40" i="35"/>
  <c r="FE156" i="35"/>
  <c r="FP40" i="35"/>
  <c r="EC38" i="20"/>
  <c r="DF36" i="35"/>
  <c r="DG36" i="35" s="1"/>
  <c r="DM36" i="35" s="1"/>
  <c r="DE36" i="35"/>
  <c r="DN36" i="35" s="1"/>
  <c r="EF36" i="35" s="1"/>
  <c r="DD37" i="35"/>
  <c r="DC37" i="35"/>
  <c r="DO37" i="35" s="1"/>
  <c r="EG37" i="35" s="1"/>
  <c r="HI40" i="35"/>
  <c r="EJ39" i="35"/>
  <c r="GE40" i="35"/>
  <c r="DB38" i="35"/>
  <c r="DA38" i="35"/>
  <c r="DP38" i="35" s="1"/>
  <c r="FA40" i="35"/>
  <c r="EG36" i="35"/>
  <c r="EI38" i="35"/>
  <c r="EH37" i="35"/>
  <c r="IM40" i="35"/>
  <c r="Y9" i="20"/>
  <c r="Y10" i="20" s="1"/>
  <c r="JH38" i="28"/>
  <c r="JI38" i="28" s="1"/>
  <c r="JJ38" i="28"/>
  <c r="JK38" i="28" s="1"/>
  <c r="GE40" i="20"/>
  <c r="FA156" i="20" s="1"/>
  <c r="JL38" i="35"/>
  <c r="JK39" i="35"/>
  <c r="JL39" i="35" s="1"/>
  <c r="EF40" i="20"/>
  <c r="JT37" i="35"/>
  <c r="JS38" i="35"/>
  <c r="JH38" i="35"/>
  <c r="JG39" i="35"/>
  <c r="JH39" i="35" s="1"/>
  <c r="JJ37" i="35"/>
  <c r="JI38" i="35"/>
  <c r="JN37" i="35"/>
  <c r="JM38" i="35"/>
  <c r="JR38" i="35"/>
  <c r="JQ39" i="35"/>
  <c r="JR39" i="35" s="1"/>
  <c r="EE40" i="20"/>
  <c r="EF39" i="20"/>
  <c r="CG42" i="20"/>
  <c r="EE39" i="20"/>
  <c r="FC155" i="20"/>
  <c r="EI40" i="28"/>
  <c r="EH40" i="28"/>
  <c r="EG40" i="28"/>
  <c r="JL37" i="28"/>
  <c r="JM37" i="28" s="1"/>
  <c r="JB37" i="28" s="1"/>
  <c r="JN39" i="28"/>
  <c r="JO39" i="28" s="1"/>
  <c r="FC155" i="28"/>
  <c r="EC38" i="28"/>
  <c r="JR39" i="28"/>
  <c r="JS39" i="28" s="1"/>
  <c r="JP39" i="28"/>
  <c r="JQ39" i="28" s="1"/>
  <c r="JQ38" i="28"/>
  <c r="GE39" i="28"/>
  <c r="FA155" i="28" s="1"/>
  <c r="JU38" i="28"/>
  <c r="JT39" i="28"/>
  <c r="JU39" i="28" s="1"/>
  <c r="EF39" i="28"/>
  <c r="EC39" i="28" s="1"/>
  <c r="Y9" i="28"/>
  <c r="AN9" i="28"/>
  <c r="CG42" i="28"/>
  <c r="FC156" i="28"/>
  <c r="GE40" i="28"/>
  <c r="AN11" i="28"/>
  <c r="R58" i="27" s="1"/>
  <c r="AN12" i="28"/>
  <c r="R26" i="27" s="1"/>
  <c r="EF40" i="28"/>
  <c r="EE40" i="28"/>
  <c r="JH39" i="20"/>
  <c r="JI39" i="20" s="1"/>
  <c r="FA155" i="20"/>
  <c r="JJ39" i="20"/>
  <c r="JK39" i="20" s="1"/>
  <c r="JA39" i="20" l="1"/>
  <c r="EC35" i="35"/>
  <c r="JA37" i="35"/>
  <c r="FA156" i="35"/>
  <c r="D79" i="34" s="1"/>
  <c r="EE36" i="35"/>
  <c r="EC36" i="35" s="1"/>
  <c r="DF37" i="35"/>
  <c r="DG37" i="35" s="1"/>
  <c r="DM37" i="35" s="1"/>
  <c r="DE37" i="35"/>
  <c r="DN37" i="35" s="1"/>
  <c r="DD38" i="35"/>
  <c r="DC38" i="35"/>
  <c r="DO38" i="35" s="1"/>
  <c r="EJ40" i="35"/>
  <c r="CZ40" i="35"/>
  <c r="CY40" i="35"/>
  <c r="DQ40" i="35" s="1"/>
  <c r="EH38" i="35"/>
  <c r="DB39" i="35"/>
  <c r="DA39" i="35"/>
  <c r="DP39" i="35" s="1"/>
  <c r="EI39" i="35"/>
  <c r="Z12" i="20"/>
  <c r="JH39" i="28"/>
  <c r="JI39" i="28" s="1"/>
  <c r="JJ39" i="28"/>
  <c r="JK39" i="28" s="1"/>
  <c r="EC39" i="20"/>
  <c r="EC40" i="20"/>
  <c r="JT38" i="35"/>
  <c r="JS39" i="35"/>
  <c r="JT39" i="35" s="1"/>
  <c r="JN38" i="35"/>
  <c r="JM39" i="35"/>
  <c r="JN39" i="35" s="1"/>
  <c r="JJ38" i="35"/>
  <c r="JI39" i="35"/>
  <c r="JJ39" i="35" s="1"/>
  <c r="JL38" i="28"/>
  <c r="JL39" i="28" s="1"/>
  <c r="JM39" i="28" s="1"/>
  <c r="GP40" i="28"/>
  <c r="FA156" i="28"/>
  <c r="EC40" i="28"/>
  <c r="EE37" i="35" l="1"/>
  <c r="JA38" i="35"/>
  <c r="JA39" i="35"/>
  <c r="DF38" i="35"/>
  <c r="DG38" i="35" s="1"/>
  <c r="DM38" i="35" s="1"/>
  <c r="DE38" i="35"/>
  <c r="DN38" i="35" s="1"/>
  <c r="DD39" i="35"/>
  <c r="DC39" i="35"/>
  <c r="DO39" i="35" s="1"/>
  <c r="EH39" i="35"/>
  <c r="DB40" i="35"/>
  <c r="DA40" i="35"/>
  <c r="DP40" i="35" s="1"/>
  <c r="EH40" i="35" s="1"/>
  <c r="EG38" i="35"/>
  <c r="EI40" i="35"/>
  <c r="EF37" i="35"/>
  <c r="JB39" i="28"/>
  <c r="JM38" i="28"/>
  <c r="JB38" i="28" s="1"/>
  <c r="EC37" i="35" l="1"/>
  <c r="EE38" i="35"/>
  <c r="DF39" i="35"/>
  <c r="DG39" i="35" s="1"/>
  <c r="DM39" i="35" s="1"/>
  <c r="DE39" i="35"/>
  <c r="DN39" i="35" s="1"/>
  <c r="EG39" i="35"/>
  <c r="DD40" i="35"/>
  <c r="DC40" i="35"/>
  <c r="DO40" i="35" s="1"/>
  <c r="EF38" i="35"/>
  <c r="EC38" i="35" l="1"/>
  <c r="DF40" i="35"/>
  <c r="DG40" i="35" s="1"/>
  <c r="DM40" i="35" s="1"/>
  <c r="DE40" i="35"/>
  <c r="DN40" i="35" s="1"/>
  <c r="EG40" i="35"/>
  <c r="EE39" i="35"/>
  <c r="EF39" i="35"/>
  <c r="EE40" i="35" l="1"/>
  <c r="EC39" i="35"/>
  <c r="EF40" i="35"/>
  <c r="EC40"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Steve</author>
  </authors>
  <commentList>
    <comment ref="R10" authorId="0" shapeId="0" xr:uid="{00000000-0006-0000-0500-000001000000}">
      <text>
        <r>
          <rPr>
            <b/>
            <sz val="9"/>
            <color indexed="81"/>
            <rFont val="Tahoma"/>
            <family val="2"/>
          </rPr>
          <t>Things to Consider:</t>
        </r>
        <r>
          <rPr>
            <sz val="9"/>
            <color indexed="81"/>
            <rFont val="Tahoma"/>
            <family val="2"/>
          </rPr>
          <t xml:space="preserve">
As commuter car trips are avoided through increased working from home, peak hour congestion is reduced. The higher car mode share for commuter trips, the higher the potential for congestion reduction. </t>
        </r>
      </text>
    </comment>
    <comment ref="S10" authorId="0" shapeId="0" xr:uid="{00000000-0006-0000-0500-000002000000}">
      <text>
        <r>
          <rPr>
            <b/>
            <sz val="9"/>
            <color indexed="81"/>
            <rFont val="Tahoma"/>
            <family val="2"/>
          </rPr>
          <t>Things to Consider:</t>
        </r>
        <r>
          <rPr>
            <sz val="9"/>
            <color indexed="81"/>
            <rFont val="Tahoma"/>
            <family val="2"/>
          </rPr>
          <t xml:space="preserve">
Removing the need to travel reduces trips. How much this reduces congestion depends on level of car use for the trips avoided and the congestion levels at the time of day and in the locations where the trips were previously made.  </t>
        </r>
      </text>
    </comment>
    <comment ref="T10" authorId="0" shapeId="0" xr:uid="{00000000-0006-0000-0500-000003000000}">
      <text>
        <r>
          <rPr>
            <b/>
            <sz val="9"/>
            <color indexed="81"/>
            <rFont val="Tahoma"/>
            <family val="2"/>
          </rPr>
          <t>Things to Consider:</t>
        </r>
        <r>
          <rPr>
            <sz val="9"/>
            <color indexed="81"/>
            <rFont val="Tahoma"/>
            <family val="2"/>
          </rPr>
          <t xml:space="preserve">
Removing the need to travel for shopping reduces the number of cars on the road. How much this reduces congestion depends on level of car use for the trips avoided and the congestion levels at the time of day where car trips have been removed from. Home deliveries do generate trips by delivery vehicles. The extent to which this contributes to congestion depends on the level of linked deliveries that can be achieved and the underlying congestion levels at the time of day the deliveries are made.     </t>
        </r>
      </text>
    </comment>
    <comment ref="U10" authorId="0" shapeId="0" xr:uid="{00000000-0006-0000-0500-000004000000}">
      <text>
        <r>
          <rPr>
            <b/>
            <sz val="9"/>
            <color indexed="81"/>
            <rFont val="Tahoma"/>
            <family val="2"/>
          </rPr>
          <t>Things to Consider:</t>
        </r>
        <r>
          <rPr>
            <sz val="9"/>
            <color indexed="81"/>
            <rFont val="Tahoma"/>
            <family val="2"/>
          </rPr>
          <t xml:space="preserve">
The more daily amenities and services that can be provided within walking distance from home, the less is the need for car trips. The extent to which this contributes to congestion relief depends on the underlying congestion levels at the time of day and in the locations the previous car trips are removed from.    </t>
        </r>
      </text>
    </comment>
    <comment ref="V10" authorId="0" shapeId="0" xr:uid="{00000000-0006-0000-0500-000005000000}">
      <text>
        <r>
          <rPr>
            <b/>
            <sz val="9"/>
            <color indexed="81"/>
            <rFont val="Tahoma"/>
          </rPr>
          <t>Things to Consider:</t>
        </r>
        <r>
          <rPr>
            <sz val="9"/>
            <color indexed="81"/>
            <rFont val="Tahoma"/>
          </rPr>
          <t xml:space="preserve">
Shifting mode for short journeys from car trips to walk and cycle may have significant impacts in city centres where congestion is likely to be worst.  In local suburban neighbourhoods congestion is less likely to be an issue except at particular times of day in particular locations (e.g. around schools at start and end of school day). Switching short trips education related trips to walk and cycle will relieve local congestion but will have limited impact city wide. Removing cars from the network for medium length journeys through switching to cycle or PT can alleviate congestion on main roads at the busiest times. Shifting from car to PT or carpooling for longer journeys is likely to have most impact on congestion along main arterial corridors into city centres during peak hours.  </t>
        </r>
      </text>
    </comment>
    <comment ref="W10" authorId="0" shapeId="0" xr:uid="{00000000-0006-0000-0500-000006000000}">
      <text>
        <r>
          <rPr>
            <b/>
            <sz val="9"/>
            <color indexed="81"/>
            <rFont val="Tahoma"/>
          </rPr>
          <t>Things to Consider:</t>
        </r>
        <r>
          <rPr>
            <sz val="9"/>
            <color indexed="81"/>
            <rFont val="Tahoma"/>
          </rPr>
          <t xml:space="preserve">
No significant impact on reducing congestion. Lower fuel consumption may encourage slightly more car use. </t>
        </r>
      </text>
    </comment>
    <comment ref="X10" authorId="0" shapeId="0" xr:uid="{00000000-0006-0000-0500-000007000000}">
      <text>
        <r>
          <rPr>
            <b/>
            <sz val="9"/>
            <color indexed="81"/>
            <rFont val="Tahoma"/>
          </rPr>
          <t>Things to Consider:</t>
        </r>
        <r>
          <rPr>
            <sz val="9"/>
            <color indexed="81"/>
            <rFont val="Tahoma"/>
          </rPr>
          <t xml:space="preserve">
No impact on reducing congestion.</t>
        </r>
      </text>
    </comment>
    <comment ref="Y10" authorId="0" shapeId="0" xr:uid="{00000000-0006-0000-0500-000008000000}">
      <text>
        <r>
          <rPr>
            <b/>
            <sz val="9"/>
            <color indexed="81"/>
            <rFont val="Tahoma"/>
          </rPr>
          <t>Things to Consider:</t>
        </r>
        <r>
          <rPr>
            <sz val="9"/>
            <color indexed="81"/>
            <rFont val="Tahoma"/>
          </rPr>
          <t xml:space="preserve">
No significant impact on reducing congestion. Lower fuel costs may encourage slightly more car use. </t>
        </r>
      </text>
    </comment>
    <comment ref="R11" authorId="0" shapeId="0" xr:uid="{00000000-0006-0000-0500-000009000000}">
      <text>
        <r>
          <rPr>
            <b/>
            <sz val="9"/>
            <color indexed="81"/>
            <rFont val="Tahoma"/>
            <family val="2"/>
          </rPr>
          <t>Things to Consider:</t>
        </r>
        <r>
          <rPr>
            <sz val="9"/>
            <color indexed="81"/>
            <rFont val="Tahoma"/>
            <family val="2"/>
          </rPr>
          <t xml:space="preserve">
Avoided commuter car trips result in less NOx and Particulate (PM) emissions and improved air quality. The higher car mode share for commuter trips, the higher the potential for air quality improvements. As electric vehicle uptake increases there is less net benefit to improved air quality from avoided trips.  </t>
        </r>
      </text>
    </comment>
    <comment ref="S11" authorId="0" shapeId="0" xr:uid="{00000000-0006-0000-0500-00000A000000}">
      <text>
        <r>
          <rPr>
            <b/>
            <sz val="9"/>
            <color indexed="81"/>
            <rFont val="Tahoma"/>
            <family val="2"/>
          </rPr>
          <t>Things to Consider:</t>
        </r>
        <r>
          <rPr>
            <sz val="9"/>
            <color indexed="81"/>
            <rFont val="Tahoma"/>
            <family val="2"/>
          </rPr>
          <t xml:space="preserve">
Avoided trips result in less NOx and Particulate (PM) emissions and improved air quality. The higher car mode share for personal business trips, the higher the potential for air quality improvements. As electric vehicle uptake increases there is less net benefit to improved air quality from avoided trips.  </t>
        </r>
      </text>
    </comment>
    <comment ref="T11" authorId="0" shapeId="0" xr:uid="{00000000-0006-0000-0500-00000B000000}">
      <text>
        <r>
          <rPr>
            <b/>
            <sz val="9"/>
            <color indexed="81"/>
            <rFont val="Tahoma"/>
            <family val="2"/>
          </rPr>
          <t>Things to Consider:</t>
        </r>
        <r>
          <rPr>
            <sz val="9"/>
            <color indexed="81"/>
            <rFont val="Tahoma"/>
            <family val="2"/>
          </rPr>
          <t xml:space="preserve">
Avoided car trips for shopping result in less NOx and Particulate (PM) emissions and improved air quality. The higher car mode share for shopping trips, the higher the potential for air quality improvements. As electric vehicle uptake increases there is less net benefit to improved air quality from avoided trips. Some of the air quality benefit from removing cars trips will be eroded by the delivery vehicles trips that replace them. To minimise the negative impact on air quality of delivery vehicles these should use clean fuels.    </t>
        </r>
      </text>
    </comment>
    <comment ref="U11" authorId="0" shapeId="0" xr:uid="{00000000-0006-0000-0500-00000C000000}">
      <text>
        <r>
          <rPr>
            <b/>
            <sz val="9"/>
            <color indexed="81"/>
            <rFont val="Tahoma"/>
            <family val="2"/>
          </rPr>
          <t>Things to Consider:</t>
        </r>
        <r>
          <rPr>
            <sz val="9"/>
            <color indexed="81"/>
            <rFont val="Tahoma"/>
            <family val="2"/>
          </rPr>
          <t xml:space="preserve">
Avoided car trips or reducing the distance of car trips result in less NOx and Particulate (PM) emissions and improved air quality. The higher the car mode share for daily trips to shopping, leisure, education, the higher the potential for air quality improvements. As many of these activities are centred around congested city centre high streets, or around schools, the air quality benefits from avoiding these trips are likely to be high. As electric vehicle uptake increases there is less net benefit to improved air quality from avoided trips. </t>
        </r>
      </text>
    </comment>
    <comment ref="V11" authorId="0" shapeId="0" xr:uid="{00000000-0006-0000-0500-00000D000000}">
      <text>
        <r>
          <rPr>
            <b/>
            <sz val="9"/>
            <color indexed="81"/>
            <rFont val="Tahoma"/>
          </rPr>
          <t>Things to Consider:</t>
        </r>
        <r>
          <rPr>
            <sz val="9"/>
            <color indexed="81"/>
            <rFont val="Tahoma"/>
          </rPr>
          <t xml:space="preserve">
Switching from car to walk and cycle has positive impacts for air quality. Switching from car to PT is also liklely to result in positive impacts where clean engine technology is utilised on PT vehicles. Where old diesel engine buses still operate improvements in air quality will be reduced. As electric vehicle uptake increases within the private car fleet there is less net benefit to improved air quality from avoided trips.  </t>
        </r>
      </text>
    </comment>
    <comment ref="W11" authorId="0" shapeId="0" xr:uid="{00000000-0006-0000-0500-00000E000000}">
      <text>
        <r>
          <rPr>
            <b/>
            <sz val="9"/>
            <color indexed="81"/>
            <rFont val="Tahoma"/>
          </rPr>
          <t>Things to Consider:</t>
        </r>
        <r>
          <rPr>
            <sz val="9"/>
            <color indexed="81"/>
            <rFont val="Tahoma"/>
          </rPr>
          <t xml:space="preserve">
Slight improvement in air quality where fuel efficiency improvements also include improvements in NOx and Particulate (PM) emissions. </t>
        </r>
      </text>
    </comment>
    <comment ref="X11" authorId="0" shapeId="0" xr:uid="{00000000-0006-0000-0500-00000F000000}">
      <text>
        <r>
          <rPr>
            <b/>
            <sz val="9"/>
            <color indexed="81"/>
            <rFont val="Tahoma"/>
          </rPr>
          <t>Things to Consider:</t>
        </r>
        <r>
          <rPr>
            <sz val="9"/>
            <color indexed="81"/>
            <rFont val="Tahoma"/>
          </rPr>
          <t xml:space="preserve">
Neutral - improvements accounted for in initial electric vehicle take-up.</t>
        </r>
      </text>
    </comment>
    <comment ref="Y11" authorId="0" shapeId="0" xr:uid="{00000000-0006-0000-0500-000010000000}">
      <text>
        <r>
          <rPr>
            <b/>
            <sz val="9"/>
            <color indexed="81"/>
            <rFont val="Tahoma"/>
          </rPr>
          <t>Things to Consider:</t>
        </r>
        <r>
          <rPr>
            <sz val="9"/>
            <color indexed="81"/>
            <rFont val="Tahoma"/>
          </rPr>
          <t xml:space="preserve">
Strong positive impact - Electric cars have zero tailpipe emissions which means a 100% reduction of NOx and Particulate (PM) emissions compared to conventional exhaust in the local area. However vehicles also create PM emissions from ‘Non Exhaust’ sources which are tyre, brake, clutch and road surface wear.</t>
        </r>
      </text>
    </comment>
    <comment ref="R12" authorId="0" shapeId="0" xr:uid="{00000000-0006-0000-0500-000011000000}">
      <text>
        <r>
          <rPr>
            <b/>
            <sz val="9"/>
            <color indexed="81"/>
            <rFont val="Tahoma"/>
            <family val="2"/>
          </rPr>
          <t>Things to Consider:</t>
        </r>
        <r>
          <rPr>
            <sz val="9"/>
            <color indexed="81"/>
            <rFont val="Tahoma"/>
            <family val="2"/>
          </rPr>
          <t xml:space="preserve">
The more car trips removed from the network the lower the risk of accidents involving cars.   </t>
        </r>
      </text>
    </comment>
    <comment ref="S12" authorId="0" shapeId="0" xr:uid="{00000000-0006-0000-0500-000012000000}">
      <text>
        <r>
          <rPr>
            <b/>
            <sz val="9"/>
            <color indexed="81"/>
            <rFont val="Tahoma"/>
            <family val="2"/>
          </rPr>
          <t>Things to Consider:</t>
        </r>
        <r>
          <rPr>
            <sz val="9"/>
            <color indexed="81"/>
            <rFont val="Tahoma"/>
            <family val="2"/>
          </rPr>
          <t xml:space="preserve">
The more car trips removed from the network the lower the risk of accidents involving cars.   </t>
        </r>
      </text>
    </comment>
    <comment ref="T12" authorId="0" shapeId="0" xr:uid="{00000000-0006-0000-0500-000013000000}">
      <text>
        <r>
          <rPr>
            <b/>
            <sz val="9"/>
            <color indexed="81"/>
            <rFont val="Tahoma"/>
            <family val="2"/>
          </rPr>
          <t>Things to Consider:</t>
        </r>
        <r>
          <rPr>
            <sz val="9"/>
            <color indexed="81"/>
            <rFont val="Tahoma"/>
            <family val="2"/>
          </rPr>
          <t xml:space="preserve">
In general, the more car trips removed from the network the lower the risk of accidents involving cars.  However, the increased presence of larger delivery vehicles may result in additional safety risk for vulnerable road users in residential neighbourhoods.   </t>
        </r>
      </text>
    </comment>
    <comment ref="U12" authorId="0" shapeId="0" xr:uid="{00000000-0006-0000-0500-000014000000}">
      <text>
        <r>
          <rPr>
            <b/>
            <sz val="9"/>
            <color indexed="81"/>
            <rFont val="Tahoma"/>
            <family val="2"/>
          </rPr>
          <t>Things to Consider:</t>
        </r>
        <r>
          <rPr>
            <sz val="9"/>
            <color indexed="81"/>
            <rFont val="Tahoma"/>
            <family val="2"/>
          </rPr>
          <t xml:space="preserve">
In general, the more car kms removed from the network the lower the risk of accidents involving cars. Reducing car presence around schools will be especially beneficial for increasing safety. Encouraging more walk and cycle trips rather than car use will improve safety as long as well designed infrastructure and traffic management protecting these users from cars is in place. </t>
        </r>
      </text>
    </comment>
    <comment ref="V12" authorId="0" shapeId="0" xr:uid="{00000000-0006-0000-0500-000015000000}">
      <text>
        <r>
          <rPr>
            <b/>
            <sz val="9"/>
            <color indexed="81"/>
            <rFont val="Tahoma"/>
          </rPr>
          <t>Things to Consider:</t>
        </r>
        <r>
          <rPr>
            <sz val="9"/>
            <color indexed="81"/>
            <rFont val="Tahoma"/>
          </rPr>
          <t xml:space="preserve">
In general, the more car kms removed from the network the lower the risk of accidents involving cars. However, the increased presence of larger public transport vehicles that frequently stop and start may result in additional safety risk for cyclists where shared bus and cycle lanes exist. Additionally, where there is increased interaction between cars and pedestrians or cyclists, there is heightened risk of accidents. Well designed infrastructure and traffic management protecting these users from cars is needed.   </t>
        </r>
      </text>
    </comment>
    <comment ref="W12" authorId="0" shapeId="0" xr:uid="{00000000-0006-0000-0500-000016000000}">
      <text>
        <r>
          <rPr>
            <b/>
            <sz val="9"/>
            <color indexed="81"/>
            <rFont val="Tahoma"/>
          </rPr>
          <t>Things to Consider:</t>
        </r>
        <r>
          <rPr>
            <sz val="9"/>
            <color indexed="81"/>
            <rFont val="Tahoma"/>
          </rPr>
          <t xml:space="preserve">
No impact on increasing safety.</t>
        </r>
      </text>
    </comment>
    <comment ref="X12" authorId="0" shapeId="0" xr:uid="{00000000-0006-0000-0500-000017000000}">
      <text>
        <r>
          <rPr>
            <b/>
            <sz val="9"/>
            <color indexed="81"/>
            <rFont val="Tahoma"/>
          </rPr>
          <t>Things to Consider:</t>
        </r>
        <r>
          <rPr>
            <sz val="9"/>
            <color indexed="81"/>
            <rFont val="Tahoma"/>
          </rPr>
          <t xml:space="preserve">
No impact on increasing safety.</t>
        </r>
      </text>
    </comment>
    <comment ref="Y12" authorId="0" shapeId="0" xr:uid="{00000000-0006-0000-0500-000018000000}">
      <text>
        <r>
          <rPr>
            <b/>
            <sz val="9"/>
            <color indexed="81"/>
            <rFont val="Tahoma"/>
          </rPr>
          <t>Things to Consider:</t>
        </r>
        <r>
          <rPr>
            <sz val="9"/>
            <color indexed="81"/>
            <rFont val="Tahoma"/>
          </rPr>
          <t xml:space="preserve">
No impact on increasing safety.</t>
        </r>
      </text>
    </comment>
    <comment ref="R13" authorId="0" shapeId="0" xr:uid="{00000000-0006-0000-0500-000019000000}">
      <text>
        <r>
          <rPr>
            <b/>
            <sz val="9"/>
            <color indexed="81"/>
            <rFont val="Tahoma"/>
            <family val="2"/>
          </rPr>
          <t>Things to Consider:</t>
        </r>
        <r>
          <rPr>
            <sz val="9"/>
            <color indexed="81"/>
            <rFont val="Tahoma"/>
            <family val="2"/>
          </rPr>
          <t xml:space="preserve">
Increased working from home removes physical limits on accessing workplaces. This means more people have the opportunitiy to access more jobs. Broadband infrastructure and speed may limit access to working from home for those in certain rural areas. </t>
        </r>
      </text>
    </comment>
    <comment ref="S13" authorId="0" shapeId="0" xr:uid="{00000000-0006-0000-0500-00001A000000}">
      <text>
        <r>
          <rPr>
            <b/>
            <sz val="9"/>
            <color indexed="81"/>
            <rFont val="Tahoma"/>
            <family val="2"/>
          </rPr>
          <t>Things to Consider:</t>
        </r>
        <r>
          <rPr>
            <sz val="9"/>
            <color indexed="81"/>
            <rFont val="Tahoma"/>
            <family val="2"/>
          </rPr>
          <t xml:space="preserve">
Digital access to personal services removes constraints and barriers to accessing physical locations. This means more people have the opportunitiy to access services in a more convenient fashion. Broadband infrastructure and speed may limit digital access to personal services for those in certain rural areas.  </t>
        </r>
      </text>
    </comment>
    <comment ref="T13" authorId="0" shapeId="0" xr:uid="{00000000-0006-0000-0500-00001B000000}">
      <text>
        <r>
          <rPr>
            <b/>
            <sz val="9"/>
            <color indexed="81"/>
            <rFont val="Tahoma"/>
            <family val="2"/>
          </rPr>
          <t>Things to Consider:</t>
        </r>
        <r>
          <rPr>
            <sz val="9"/>
            <color indexed="81"/>
            <rFont val="Tahoma"/>
            <family val="2"/>
          </rPr>
          <t xml:space="preserve">
On-line access to shopping services removes constraints and barriers to accessing physical shop locations. This means more people have the opportunitiy to access more goods in a more convenient fashion. Broadband infrastructure and speed may limit digital access to shopping services for those in certain rural areas.  Availability to receive deliveries at convenient times may limit access to on-line shopping for some.  </t>
        </r>
      </text>
    </comment>
    <comment ref="U13" authorId="0" shapeId="0" xr:uid="{00000000-0006-0000-0500-00001C000000}">
      <text>
        <r>
          <rPr>
            <b/>
            <sz val="9"/>
            <color indexed="81"/>
            <rFont val="Tahoma"/>
            <family val="2"/>
          </rPr>
          <t>Things to Consider:</t>
        </r>
        <r>
          <rPr>
            <sz val="9"/>
            <color indexed="81"/>
            <rFont val="Tahoma"/>
            <family val="2"/>
          </rPr>
          <t xml:space="preserve">
Bringing the location of daily amenities and services closer to where people live enhances accessibility. For those who are mobility impaired and unable to walk, suitable transport should be provided though use of mobility scooters or door-to-door accessible public transport.  </t>
        </r>
      </text>
    </comment>
    <comment ref="V13" authorId="0" shapeId="0" xr:uid="{00000000-0006-0000-0500-00001D000000}">
      <text>
        <r>
          <rPr>
            <b/>
            <sz val="9"/>
            <color indexed="81"/>
            <rFont val="Tahoma"/>
          </rPr>
          <t>Things to Consider:</t>
        </r>
        <r>
          <rPr>
            <sz val="9"/>
            <color indexed="81"/>
            <rFont val="Tahoma"/>
          </rPr>
          <t xml:space="preserve">
The more cities are designed for walking, cycling and public transport the more amenities and services become accessible to those without access to cars. Where destinations are too far to walk or cycle expanding the coverage and frequency of the accessible public transport network is needed. Where destinations are close then providing safe and attractive walk and cycling infrastructure is necessary.      </t>
        </r>
      </text>
    </comment>
    <comment ref="W13" authorId="0" shapeId="0" xr:uid="{00000000-0006-0000-0500-00001E000000}">
      <text>
        <r>
          <rPr>
            <b/>
            <sz val="9"/>
            <color indexed="81"/>
            <rFont val="Tahoma"/>
          </rPr>
          <t>Things to Consider:</t>
        </r>
        <r>
          <rPr>
            <sz val="9"/>
            <color indexed="81"/>
            <rFont val="Tahoma"/>
          </rPr>
          <t xml:space="preserve">
No impact on enhancing accessibility.</t>
        </r>
      </text>
    </comment>
    <comment ref="X13" authorId="0" shapeId="0" xr:uid="{00000000-0006-0000-0500-00001F000000}">
      <text>
        <r>
          <rPr>
            <b/>
            <sz val="9"/>
            <color indexed="81"/>
            <rFont val="Tahoma"/>
          </rPr>
          <t>Things to Consider:</t>
        </r>
        <r>
          <rPr>
            <sz val="9"/>
            <color indexed="81"/>
            <rFont val="Tahoma"/>
          </rPr>
          <t xml:space="preserve">
No impact on enhancing accessibility.</t>
        </r>
      </text>
    </comment>
    <comment ref="Y13" authorId="0" shapeId="0" xr:uid="{00000000-0006-0000-0500-000020000000}">
      <text>
        <r>
          <rPr>
            <b/>
            <sz val="9"/>
            <color indexed="81"/>
            <rFont val="Tahoma"/>
          </rPr>
          <t>Things to Consider:</t>
        </r>
        <r>
          <rPr>
            <sz val="9"/>
            <color indexed="81"/>
            <rFont val="Tahoma"/>
          </rPr>
          <t xml:space="preserve">
Electric vehicles are not accessible for everyone due to higher cost of purchase and in some city locations limited facilities for off-street charging (flats and housing without driveways).  </t>
        </r>
      </text>
    </comment>
    <comment ref="R14" authorId="0" shapeId="0" xr:uid="{00000000-0006-0000-0500-000021000000}">
      <text>
        <r>
          <rPr>
            <b/>
            <sz val="9"/>
            <color indexed="81"/>
            <rFont val="Tahoma"/>
            <family val="2"/>
          </rPr>
          <t>Things to Consider:</t>
        </r>
        <r>
          <rPr>
            <sz val="9"/>
            <color indexed="81"/>
            <rFont val="Tahoma"/>
            <family val="2"/>
          </rPr>
          <t xml:space="preserve">
Research on working from home has revealed that productivity levels tend not to suffer and can increase when homeworking. Time saved by not travelling can be put to more productive purposes. Less cars on the network leads to reduced journey times which has economic benefits, but there will be a drop in fuel tax revenues associated with less private veh-km. Businesses located within centres of employment where office jobs are located suffer from lower demands as more people work from home. This may lead to staff redundancies or business closures. Some businesses will relocate to local neighbourhoods where daytime consumers may have increased as home workers now shop and leisure activities in their local neighbourhood.    </t>
        </r>
      </text>
    </comment>
    <comment ref="S14" authorId="0" shapeId="0" xr:uid="{00000000-0006-0000-0500-000022000000}">
      <text>
        <r>
          <rPr>
            <b/>
            <sz val="9"/>
            <color indexed="81"/>
            <rFont val="Tahoma"/>
            <family val="2"/>
          </rPr>
          <t>Things to Consider:</t>
        </r>
        <r>
          <rPr>
            <sz val="9"/>
            <color indexed="81"/>
            <rFont val="Tahoma"/>
            <family val="2"/>
          </rPr>
          <t xml:space="preserve">
The transition to on-line and teleservices, while delivering more efficiencies in costs of provision, is likely to also result in some job loses.  </t>
        </r>
      </text>
    </comment>
    <comment ref="T14" authorId="0" shapeId="0" xr:uid="{00000000-0006-0000-0500-000023000000}">
      <text>
        <r>
          <rPr>
            <b/>
            <sz val="9"/>
            <color indexed="81"/>
            <rFont val="Tahoma"/>
            <family val="2"/>
          </rPr>
          <t>Things to Consider:</t>
        </r>
        <r>
          <rPr>
            <sz val="9"/>
            <color indexed="81"/>
            <rFont val="Tahoma"/>
            <family val="2"/>
          </rPr>
          <t xml:space="preserve">
The transition to on-line shoping and home delivery, will likely result in structural changes in the retail sector with less high street and supermarket store locations and more consolidation centres for direct distribution to homes. While this is likely to result in some job loses in stores, there will be more jobs created in the delivery chain. Redundant store locations may be repurposed to entertainment outlets (food and drink, leisure) or developed for housing.    </t>
        </r>
      </text>
    </comment>
    <comment ref="U14" authorId="0" shapeId="0" xr:uid="{00000000-0006-0000-0500-000024000000}">
      <text>
        <r>
          <rPr>
            <b/>
            <sz val="9"/>
            <color indexed="81"/>
            <rFont val="Tahoma"/>
            <family val="2"/>
          </rPr>
          <t>Things to Consider:</t>
        </r>
        <r>
          <rPr>
            <sz val="9"/>
            <color indexed="81"/>
            <rFont val="Tahoma"/>
            <family val="2"/>
          </rPr>
          <t xml:space="preserve">
Time saved by not travelling can be put to more productive purposes. Less cars on the network leads to reduced journey times which has economic benefits, but there will be a drop in fuel tax revenues associated with less private veh-km. More vibrant and economically prosperous local neighbourhoods may emerge at the cost of a decline in economic output of city centres. City centres could refocus some activities and services towards visitors and tourism.  </t>
        </r>
      </text>
    </comment>
    <comment ref="V14" authorId="0" shapeId="0" xr:uid="{00000000-0006-0000-0500-000025000000}">
      <text>
        <r>
          <rPr>
            <b/>
            <sz val="9"/>
            <color indexed="81"/>
            <rFont val="Tahoma"/>
          </rPr>
          <t>Things to Consider:</t>
        </r>
        <r>
          <rPr>
            <sz val="9"/>
            <color indexed="81"/>
            <rFont val="Tahoma"/>
          </rPr>
          <t xml:space="preserve">
Achieving a shift from car to alternative modes and providing priority to these alternative modes reduces journey times and improves journey time reliability for all road users.  Fare revenues for PT will increase, although there will be a drop in fuel tax revenues associated with less private veh-km. Access to job opportunities may be enhanced by for those withour access to private cars. Less car dominated cities and better connections may support growth in visitors and tourism in the city.  </t>
        </r>
      </text>
    </comment>
    <comment ref="W14" authorId="0" shapeId="0" xr:uid="{00000000-0006-0000-0500-000026000000}">
      <text>
        <r>
          <rPr>
            <b/>
            <sz val="9"/>
            <color indexed="81"/>
            <rFont val="Tahoma"/>
          </rPr>
          <t>Things to Consider:</t>
        </r>
        <r>
          <rPr>
            <sz val="9"/>
            <color indexed="81"/>
            <rFont val="Tahoma"/>
          </rPr>
          <t xml:space="preserve">
No significant impact.</t>
        </r>
      </text>
    </comment>
    <comment ref="X14" authorId="0" shapeId="0" xr:uid="{00000000-0006-0000-0500-000027000000}">
      <text>
        <r>
          <rPr>
            <b/>
            <sz val="9"/>
            <color indexed="81"/>
            <rFont val="Tahoma"/>
          </rPr>
          <t>Things to Consider:</t>
        </r>
        <r>
          <rPr>
            <sz val="9"/>
            <color indexed="81"/>
            <rFont val="Tahoma"/>
          </rPr>
          <t xml:space="preserve">
No significant impact.</t>
        </r>
      </text>
    </comment>
    <comment ref="Y14" authorId="0" shapeId="0" xr:uid="{00000000-0006-0000-0500-000028000000}">
      <text>
        <r>
          <rPr>
            <b/>
            <sz val="9"/>
            <color indexed="81"/>
            <rFont val="Tahoma"/>
          </rPr>
          <t>Things to Consider:</t>
        </r>
        <r>
          <rPr>
            <sz val="9"/>
            <color indexed="81"/>
            <rFont val="Tahoma"/>
          </rPr>
          <t xml:space="preserve">
While electric cars have a higher initial cost than ICE cars, they are usually more affordable in the long-term. The relative costs are likely to more strongly favour electric vehicle ownership in the future. This means there is likely to be more disposable income to spend in the wider economy compared to ICE alternative. Related to this there will be a drop in petrol and diesel fuel tax revenues. It is also likely that there will be less demand and need for jobs in the after sales vehicle servicing, mainteance and parts industries.  </t>
        </r>
      </text>
    </comment>
    <comment ref="R15" authorId="0" shapeId="0" xr:uid="{00000000-0006-0000-0500-000029000000}">
      <text>
        <r>
          <rPr>
            <b/>
            <sz val="9"/>
            <color indexed="81"/>
            <rFont val="Tahoma"/>
            <family val="2"/>
          </rPr>
          <t>Things to Consider:</t>
        </r>
        <r>
          <rPr>
            <sz val="9"/>
            <color indexed="81"/>
            <rFont val="Tahoma"/>
          </rPr>
          <t xml:space="preserve">
Increased working from home can disperse the demand for housing away from city centres where the largest numbers of jobs are physically located. This can ease the demand for new housing in the areas where housing is in short supply and there is no space for new housing.  Working from home may create more demand for larger houses with spare rooms/home offices.
</t>
        </r>
      </text>
    </comment>
    <comment ref="S15" authorId="0" shapeId="0" xr:uid="{00000000-0006-0000-0500-00002A000000}">
      <text>
        <r>
          <rPr>
            <b/>
            <sz val="9"/>
            <color indexed="81"/>
            <rFont val="Tahoma"/>
            <family val="2"/>
          </rPr>
          <t>Things to Consider:</t>
        </r>
        <r>
          <rPr>
            <sz val="9"/>
            <color indexed="81"/>
            <rFont val="Tahoma"/>
            <family val="2"/>
          </rPr>
          <t xml:space="preserve">
Unlikely to have any effect on housing demand.  </t>
        </r>
      </text>
    </comment>
    <comment ref="T15" authorId="0" shapeId="0" xr:uid="{00000000-0006-0000-0500-00002B000000}">
      <text>
        <r>
          <rPr>
            <b/>
            <sz val="9"/>
            <color indexed="81"/>
            <rFont val="Tahoma"/>
            <family val="2"/>
          </rPr>
          <t>Things to Consider:</t>
        </r>
        <r>
          <rPr>
            <sz val="9"/>
            <color indexed="81"/>
            <rFont val="Tahoma"/>
            <family val="2"/>
          </rPr>
          <t xml:space="preserve">
Unlikely to have significant effect. Redundant store locations may be redeveloped for housing.    </t>
        </r>
      </text>
    </comment>
    <comment ref="U15" authorId="0" shapeId="0" xr:uid="{00000000-0006-0000-0500-00002C000000}">
      <text>
        <r>
          <rPr>
            <b/>
            <sz val="9"/>
            <color indexed="81"/>
            <rFont val="Tahoma"/>
            <family val="2"/>
          </rPr>
          <t>Things to Consider:</t>
        </r>
        <r>
          <rPr>
            <sz val="9"/>
            <color indexed="81"/>
            <rFont val="Tahoma"/>
            <family val="2"/>
          </rPr>
          <t xml:space="preserve">
Spatial land-use planning centred on mixed use developments that support local living can provide a model for meeting new housing demand. This can include densification of existing urban areas where good local amenities already exist, while also ensuring new developments have a wide range of local services and amenities which are within walking distance. This could break the cycle of car dependency and support more sustainable housing development.   </t>
        </r>
      </text>
    </comment>
    <comment ref="V15" authorId="0" shapeId="0" xr:uid="{00000000-0006-0000-0500-00002D000000}">
      <text>
        <r>
          <rPr>
            <b/>
            <sz val="9"/>
            <color indexed="81"/>
            <rFont val="Tahoma"/>
          </rPr>
          <t>Things to Consider:</t>
        </r>
        <r>
          <rPr>
            <sz val="9"/>
            <color indexed="81"/>
            <rFont val="Tahoma"/>
          </rPr>
          <t xml:space="preserve">
Good quality frequent public transport extending out of the main city may support transit oriented developments outside the main urban areas in existing peripheral towns or to new town developments (where space is available). These new developments should be mixed use, encouraging walk and cycle for local trips and built around mobility hubs providing fast and efficient connections to the main urban areas.  </t>
        </r>
      </text>
    </comment>
    <comment ref="W15" authorId="0" shapeId="0" xr:uid="{00000000-0006-0000-0500-00002E000000}">
      <text>
        <r>
          <rPr>
            <b/>
            <sz val="9"/>
            <color indexed="81"/>
            <rFont val="Tahoma"/>
          </rPr>
          <t>Things to Consider:</t>
        </r>
        <r>
          <rPr>
            <sz val="9"/>
            <color indexed="81"/>
            <rFont val="Tahoma"/>
          </rPr>
          <t xml:space="preserve">
No significant impact.</t>
        </r>
      </text>
    </comment>
    <comment ref="X15" authorId="0" shapeId="0" xr:uid="{00000000-0006-0000-0500-00002F000000}">
      <text>
        <r>
          <rPr>
            <b/>
            <sz val="9"/>
            <color indexed="81"/>
            <rFont val="Tahoma"/>
          </rPr>
          <t>Things to Consider:</t>
        </r>
        <r>
          <rPr>
            <sz val="9"/>
            <color indexed="81"/>
            <rFont val="Tahoma"/>
          </rPr>
          <t xml:space="preserve">
No significant impact.</t>
        </r>
      </text>
    </comment>
    <comment ref="Y15" authorId="0" shapeId="0" xr:uid="{00000000-0006-0000-0500-000030000000}">
      <text>
        <r>
          <rPr>
            <b/>
            <sz val="9"/>
            <color indexed="81"/>
            <rFont val="Tahoma"/>
          </rPr>
          <t>Things to Consider:</t>
        </r>
        <r>
          <rPr>
            <sz val="9"/>
            <color indexed="81"/>
            <rFont val="Tahoma"/>
          </rPr>
          <t xml:space="preserve">
No significant impact.</t>
        </r>
      </text>
    </comment>
    <comment ref="R16" authorId="0" shapeId="0" xr:uid="{00000000-0006-0000-0500-000031000000}">
      <text>
        <r>
          <rPr>
            <b/>
            <sz val="9"/>
            <color indexed="81"/>
            <rFont val="Tahoma"/>
            <family val="2"/>
          </rPr>
          <t>Things to Consider:</t>
        </r>
        <r>
          <rPr>
            <sz val="9"/>
            <color indexed="81"/>
            <rFont val="Tahoma"/>
            <family val="2"/>
          </rPr>
          <t xml:space="preserve">
Working from home can give more flexibility in working hours allowing for leisure breaks during the day. It may also allow more healthy eating habits to be developed. Many people find the isolation and lack of social contact when working from home difficult to adjust to, leading to mental helath prolems and deterioration in wellbeing. People who previously walked or cycled to work may find they are less active.   </t>
        </r>
        <r>
          <rPr>
            <b/>
            <sz val="9"/>
            <color indexed="81"/>
            <rFont val="Tahoma"/>
            <family val="2"/>
          </rPr>
          <t xml:space="preserve">
</t>
        </r>
      </text>
    </comment>
    <comment ref="S16" authorId="0" shapeId="0" xr:uid="{00000000-0006-0000-0500-000032000000}">
      <text>
        <r>
          <rPr>
            <b/>
            <sz val="9"/>
            <color indexed="81"/>
            <rFont val="Tahoma"/>
            <family val="2"/>
          </rPr>
          <t>Things to Consider:</t>
        </r>
        <r>
          <rPr>
            <sz val="9"/>
            <color indexed="81"/>
            <rFont val="Tahoma"/>
            <family val="2"/>
          </rPr>
          <t xml:space="preserve">
Unlikely to have much effect on health and wellbeing. Provision of telehealth services may increase availability and reduce wait times for initial health consultations which could lead to earlier diagnosis of conditions. </t>
        </r>
      </text>
    </comment>
    <comment ref="T16" authorId="0" shapeId="0" xr:uid="{00000000-0006-0000-0500-000033000000}">
      <text>
        <r>
          <rPr>
            <b/>
            <sz val="9"/>
            <color indexed="81"/>
            <rFont val="Tahoma"/>
            <family val="2"/>
          </rPr>
          <t>Things to Consider:</t>
        </r>
        <r>
          <rPr>
            <sz val="9"/>
            <color indexed="81"/>
            <rFont val="Tahoma"/>
            <family val="2"/>
          </rPr>
          <t xml:space="preserve">
Unlikely to have much effect on health and wellbeing. The act of shopping is seen as cathartic by some but stressful for others. Boutique shops and clothes retailers where browsing is important will likley remain as physical outlets.  Shopping for more mundane items and regular purchases most likely to move on-line. The social aspect to shopping and the physical aspect of walking while shopping is lost when shopping on-line - this may have small negative consequences on health and wellbeing. </t>
        </r>
      </text>
    </comment>
    <comment ref="U16" authorId="0" shapeId="0" xr:uid="{00000000-0006-0000-0500-000034000000}">
      <text>
        <r>
          <rPr>
            <b/>
            <sz val="9"/>
            <color indexed="81"/>
            <rFont val="Tahoma"/>
            <family val="2"/>
          </rPr>
          <t>Things to Consider:</t>
        </r>
        <r>
          <rPr>
            <sz val="9"/>
            <color indexed="81"/>
            <rFont val="Tahoma"/>
            <family val="2"/>
          </rPr>
          <t xml:space="preserve">
This is likely to have a strong positive effect on helath and wellbeing. Local availability of daily amenities and services encourages more walking and cycling and less car trips. Vibrant neighbourhood communities enhances feelings of belonging and provides social meeting points for more of society. Less time spent travelling longer distances means more time for social and leisure activities.     </t>
        </r>
      </text>
    </comment>
    <comment ref="V16" authorId="0" shapeId="0" xr:uid="{00000000-0006-0000-0500-000035000000}">
      <text>
        <r>
          <rPr>
            <b/>
            <sz val="9"/>
            <color indexed="81"/>
            <rFont val="Tahoma"/>
          </rPr>
          <t>Things to Consider:</t>
        </r>
        <r>
          <rPr>
            <sz val="9"/>
            <color indexed="81"/>
            <rFont val="Tahoma"/>
          </rPr>
          <t xml:space="preserve">
Shifting from car to walk for short trips or to cycle for short and medium length trips has obvious health benefits. Shifting from car to public transport for longer journeys also involves some walking to and from PT stops, and more than when using the car. However, increased journeys times and long waits associated with poor quality PT services may impact negatively on wellbeing compared to the convenisnce of using the car.   </t>
        </r>
      </text>
    </comment>
    <comment ref="W16" authorId="0" shapeId="0" xr:uid="{00000000-0006-0000-0500-000036000000}">
      <text>
        <r>
          <rPr>
            <b/>
            <sz val="9"/>
            <color indexed="81"/>
            <rFont val="Tahoma"/>
          </rPr>
          <t>Things to Consider:</t>
        </r>
        <r>
          <rPr>
            <sz val="9"/>
            <color indexed="81"/>
            <rFont val="Tahoma"/>
          </rPr>
          <t xml:space="preserve">
No significant impact.</t>
        </r>
      </text>
    </comment>
    <comment ref="X16" authorId="0" shapeId="0" xr:uid="{00000000-0006-0000-0500-000037000000}">
      <text>
        <r>
          <rPr>
            <b/>
            <sz val="9"/>
            <color indexed="81"/>
            <rFont val="Tahoma"/>
          </rPr>
          <t>Things to Consider:</t>
        </r>
        <r>
          <rPr>
            <sz val="9"/>
            <color indexed="81"/>
            <rFont val="Tahoma"/>
          </rPr>
          <t xml:space="preserve">
No significant impact.</t>
        </r>
      </text>
    </comment>
    <comment ref="Y16" authorId="0" shapeId="0" xr:uid="{00000000-0006-0000-0500-000038000000}">
      <text>
        <r>
          <rPr>
            <b/>
            <sz val="9"/>
            <color indexed="81"/>
            <rFont val="Tahoma"/>
          </rPr>
          <t>Things to Consider:</t>
        </r>
        <r>
          <rPr>
            <sz val="9"/>
            <color indexed="81"/>
            <rFont val="Tahoma"/>
          </rPr>
          <t xml:space="preserve">
Better air quality associated with electric vehicles compared to ICE vehicles leads to health benefits. This is accounted for in the air quality objective. No other benefits.  </t>
        </r>
      </text>
    </comment>
    <comment ref="R17" authorId="0" shapeId="0" xr:uid="{00000000-0006-0000-0500-000039000000}">
      <text>
        <r>
          <rPr>
            <b/>
            <sz val="9"/>
            <color indexed="81"/>
            <rFont val="Tahoma"/>
            <family val="2"/>
          </rPr>
          <t>Things to Consider:</t>
        </r>
        <r>
          <rPr>
            <sz val="9"/>
            <color indexed="81"/>
            <rFont val="Tahoma"/>
            <family val="2"/>
          </rPr>
          <t xml:space="preserve">
Certain vulnerable groups who are less PC literate may be disadvantaged by moves to homeworking. Emloyees without suitable equipment at home or without a quiet space in which to work (office of spare room) may be disadvantaged. Homeworking is advantageous for workers that may have childcare responsibilities (proportionally more women).  Not all jobs are possible to work from home. Research (McKinsey, 2020) indicates that in total across all sectors there is an estimated effective potential (effective potential includes only activities that can be done remotely without losing effectiveness) for working from home of 33% in the UK, for Germany it is 30% and for France it is 28%. The finance, management, professional services and information sectors were found to have the highest potential for remote work. 
</t>
        </r>
      </text>
    </comment>
    <comment ref="S17" authorId="0" shapeId="0" xr:uid="{00000000-0006-0000-0500-00003A000000}">
      <text>
        <r>
          <rPr>
            <b/>
            <sz val="9"/>
            <color indexed="81"/>
            <rFont val="Tahoma"/>
            <family val="2"/>
          </rPr>
          <t>Things to Consider:</t>
        </r>
        <r>
          <rPr>
            <sz val="9"/>
            <color indexed="81"/>
            <rFont val="Tahoma"/>
            <family val="2"/>
          </rPr>
          <t xml:space="preserve">
Digital and teleservices remove the need to travel and so inequities associated with the transport system and the wide variation in ability to travel to destinations where personal services are provided are no longer an issue. Certain vulnerable groups who are less PC literate or without suitable technology at home may be disadvantaged by moves to digitise access to personal services. Poor broadband connections may disadvantage people in some areas. Ability to pay for broadband may be a barrier for some.  </t>
        </r>
      </text>
    </comment>
    <comment ref="T17" authorId="0" shapeId="0" xr:uid="{00000000-0006-0000-0500-00003B000000}">
      <text>
        <r>
          <rPr>
            <b/>
            <sz val="9"/>
            <color indexed="81"/>
            <rFont val="Tahoma"/>
            <family val="2"/>
          </rPr>
          <t>Things to Consider:</t>
        </r>
        <r>
          <rPr>
            <sz val="9"/>
            <color indexed="81"/>
            <rFont val="Tahoma"/>
            <family val="2"/>
          </rPr>
          <t xml:space="preserve">
On-line shopping and home delivery remove the need to travel and so inequities associated with the transport system and the wide variation in ability to travel to shopping destinations are no longer an issue. Certain vulnerable groups who are less PC literate or without suitable technology at home may be disadvantaged by moves to digitise access to shopping. Poor broadband connections may disadvantage people in some areas. Ability to pay for broadband may be a barrier for some. Lack of presence at home to receive deliveries or lack of a secure place to leave deliveries may disadvantage some people and deter them from on-line shopping.   </t>
        </r>
      </text>
    </comment>
    <comment ref="U17" authorId="0" shapeId="0" xr:uid="{00000000-0006-0000-0500-00003C000000}">
      <text>
        <r>
          <rPr>
            <b/>
            <sz val="9"/>
            <color indexed="81"/>
            <rFont val="Tahoma"/>
            <family val="2"/>
          </rPr>
          <t>Things to Consider:</t>
        </r>
        <r>
          <rPr>
            <sz val="9"/>
            <color indexed="81"/>
            <rFont val="Tahoma"/>
            <family val="2"/>
          </rPr>
          <t xml:space="preserve">
Local availability of daily amenities and services means better access to essential goods, services and activities for more of society. Stronger and more vibrant local communities can feel more inclusive and caring for isolated and vulnerable members of society.    </t>
        </r>
      </text>
    </comment>
    <comment ref="V17" authorId="0" shapeId="0" xr:uid="{00000000-0006-0000-0500-00003D000000}">
      <text>
        <r>
          <rPr>
            <b/>
            <sz val="9"/>
            <color indexed="81"/>
            <rFont val="Tahoma"/>
          </rPr>
          <t>Things to Consider:</t>
        </r>
        <r>
          <rPr>
            <sz val="9"/>
            <color indexed="81"/>
            <rFont val="Tahoma"/>
          </rPr>
          <t xml:space="preserve">
Designing for walk, cycle and public transport ahead of the car has obvious equality and inclusion benefits for non-car owners and generally there will be positive impact related to this objective. However, not everybody has equal ability to walk or cycle and so suitable mobility alternatives must also be provided where these modes are prioritised. Similarly public transport vehicles, infrastructure and operations need to be accessible, empahetic and safe for vulnerable persons and affordable to those on low incomes.    </t>
        </r>
      </text>
    </comment>
    <comment ref="W17" authorId="0" shapeId="0" xr:uid="{00000000-0006-0000-0500-00003E000000}">
      <text>
        <r>
          <rPr>
            <b/>
            <sz val="9"/>
            <color indexed="81"/>
            <rFont val="Tahoma"/>
          </rPr>
          <t>Things to Consider:</t>
        </r>
        <r>
          <rPr>
            <sz val="9"/>
            <color indexed="81"/>
            <rFont val="Tahoma"/>
          </rPr>
          <t xml:space="preserve">
No significant impact.</t>
        </r>
      </text>
    </comment>
    <comment ref="X17" authorId="0" shapeId="0" xr:uid="{00000000-0006-0000-0500-00003F000000}">
      <text>
        <r>
          <rPr>
            <b/>
            <sz val="9"/>
            <color indexed="81"/>
            <rFont val="Tahoma"/>
          </rPr>
          <t>Things to Consider:</t>
        </r>
        <r>
          <rPr>
            <sz val="9"/>
            <color indexed="81"/>
            <rFont val="Tahoma"/>
          </rPr>
          <t xml:space="preserve">
No significant impact.</t>
        </r>
      </text>
    </comment>
    <comment ref="Y17" authorId="0" shapeId="0" xr:uid="{00000000-0006-0000-0500-000040000000}">
      <text>
        <r>
          <rPr>
            <b/>
            <sz val="9"/>
            <color indexed="81"/>
            <rFont val="Tahoma"/>
          </rPr>
          <t>Things to Consider:</t>
        </r>
        <r>
          <rPr>
            <sz val="9"/>
            <color indexed="81"/>
            <rFont val="Tahoma"/>
          </rPr>
          <t xml:space="preserve">
The higher cost of electric vehicle purchase is a significant barrier to electric vehicle ownership for many. Subsidies should be considered to remove this barrier. Lack of access to off-street charging points also creates inequity: on-street charging points are limited in number and more expensive to use. Residents in flats and in higher density housing without driveway parking do not have the same opportunity for electric vehicle charging.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<sst xmlns="http://schemas.openxmlformats.org/spreadsheetml/2006/main" count="1564" uniqueCount="481">
  <si>
    <t xml:space="preserve">Urban </t>
  </si>
  <si>
    <t>Peri-urban</t>
  </si>
  <si>
    <t>Rural</t>
  </si>
  <si>
    <t>% car driver mode share for commuter trips</t>
  </si>
  <si>
    <t>% car veh-km avoided</t>
  </si>
  <si>
    <t>% car driver mode share for personal business trips</t>
  </si>
  <si>
    <t>% car driver mode share for shopping, leisure, education trips</t>
  </si>
  <si>
    <t>N/A</t>
  </si>
  <si>
    <t xml:space="preserve">shopping, leisure, education trip distance as % of total distance </t>
  </si>
  <si>
    <t xml:space="preserve">shopping trip distance as % of total trip distance </t>
  </si>
  <si>
    <t xml:space="preserve">personal business trip distance as % of total trip distance </t>
  </si>
  <si>
    <t xml:space="preserve">commuting trip distance as % of total trip distance </t>
  </si>
  <si>
    <t>Department for Transport statistics</t>
  </si>
  <si>
    <t>National Travel Survey</t>
  </si>
  <si>
    <t>Table NTS9911</t>
  </si>
  <si>
    <r>
      <t>Average number of trips (trip rates) by trip length, region and Rural-Urban</t>
    </r>
    <r>
      <rPr>
        <b/>
        <vertAlign val="superscript"/>
        <sz val="11"/>
        <color rgb="FF008080"/>
        <rFont val="Arial"/>
        <family val="2"/>
      </rPr>
      <t>1</t>
    </r>
    <r>
      <rPr>
        <b/>
        <sz val="11"/>
        <color rgb="FF008080"/>
        <rFont val="Arial"/>
        <family val="2"/>
      </rPr>
      <t xml:space="preserve"> Classification: England, 2018/2019</t>
    </r>
    <r>
      <rPr>
        <b/>
        <vertAlign val="superscript"/>
        <sz val="11"/>
        <color rgb="FF008080"/>
        <rFont val="Arial"/>
        <family val="2"/>
      </rPr>
      <t>2</t>
    </r>
  </si>
  <si>
    <t>Trips per person per year</t>
  </si>
  <si>
    <t>Under 1 mile</t>
  </si>
  <si>
    <t>1 to under 2 miles</t>
  </si>
  <si>
    <t>2 to under 5 miles</t>
  </si>
  <si>
    <t>5 to under 10 miles</t>
  </si>
  <si>
    <t>10 to under 25 miles</t>
  </si>
  <si>
    <t>25 to under 50 miles</t>
  </si>
  <si>
    <t>50 to under 100 miles</t>
  </si>
  <si>
    <t>100 miles and over</t>
  </si>
  <si>
    <t>All lengths</t>
  </si>
  <si>
    <t>Unweighted sample size (individuals)</t>
  </si>
  <si>
    <t>Region of residence:</t>
  </si>
  <si>
    <t>North East</t>
  </si>
  <si>
    <t>North West</t>
  </si>
  <si>
    <t>Yorkshire and The Humber</t>
  </si>
  <si>
    <t>East Midlands</t>
  </si>
  <si>
    <t>West Midlands</t>
  </si>
  <si>
    <t>East of England</t>
  </si>
  <si>
    <t>London</t>
  </si>
  <si>
    <t>South East</t>
  </si>
  <si>
    <t>South West</t>
  </si>
  <si>
    <t>England excluding London</t>
  </si>
  <si>
    <t>England</t>
  </si>
  <si>
    <r>
      <t>Rural-Urban Classification</t>
    </r>
    <r>
      <rPr>
        <b/>
        <vertAlign val="superscript"/>
        <sz val="11"/>
        <color rgb="FF000000"/>
        <rFont val="Arial"/>
        <family val="2"/>
      </rPr>
      <t>1</t>
    </r>
    <r>
      <rPr>
        <b/>
        <sz val="11"/>
        <color rgb="FF000000"/>
        <rFont val="Arial"/>
        <family val="2"/>
      </rPr>
      <t xml:space="preserve"> of residence:</t>
    </r>
  </si>
  <si>
    <t>Urban Conurbation</t>
  </si>
  <si>
    <t>Urban City and Town</t>
  </si>
  <si>
    <t>Rural Town and Fringe</t>
  </si>
  <si>
    <t>Rural Village, Hamlet and Isolated Dwelling</t>
  </si>
  <si>
    <t>All areas</t>
  </si>
  <si>
    <t>1 For more information on Rural-Urban Classifications see:</t>
  </si>
  <si>
    <t>https://www.gov.uk/government/collections/rural-urban-classification</t>
  </si>
  <si>
    <t>2 Two survey years combined, e.g. 2017 and 2018.</t>
  </si>
  <si>
    <t>The figures in this table are National Statistics.</t>
  </si>
  <si>
    <t xml:space="preserve">The results presented in this table are weighted. The base (unweighted sample size) is shown in the table for information. </t>
  </si>
  <si>
    <t>The survey results are subject to sampling error.</t>
  </si>
  <si>
    <t>Source: National Travel Survey</t>
  </si>
  <si>
    <t>Email: national.travelsurvey@dft.gov.uk</t>
  </si>
  <si>
    <t>Last updated: 22 September 2021</t>
  </si>
  <si>
    <t>Notes &amp; definitions</t>
  </si>
  <si>
    <t>Next update: Summer 2022</t>
  </si>
  <si>
    <t>Distance band</t>
  </si>
  <si>
    <t>Average distance per band</t>
  </si>
  <si>
    <t>All lengths up to 50 miles</t>
  </si>
  <si>
    <t>Total distance up to 50 miles</t>
  </si>
  <si>
    <t>Promote PT</t>
  </si>
  <si>
    <t>Promote walk+cycle</t>
  </si>
  <si>
    <t>Promote cycle+PT</t>
  </si>
  <si>
    <t>% car driver mode share for shopping trips</t>
  </si>
  <si>
    <t>Promote PT+ ride sharing</t>
  </si>
  <si>
    <t>Av. Trip distance per band</t>
  </si>
  <si>
    <t>Average car driver mode share</t>
  </si>
  <si>
    <t>SHIFT</t>
  </si>
  <si>
    <t>gCO2/km</t>
  </si>
  <si>
    <t>https://ourworldindata.org/grapher/carbon-intensity-electricity</t>
  </si>
  <si>
    <t>Carbon intensity of electricty generation</t>
  </si>
  <si>
    <t>% car fleet electric</t>
  </si>
  <si>
    <r>
      <t>Base case 2020 av. Car fleet fuel emissions</t>
    </r>
    <r>
      <rPr>
        <vertAlign val="superscript"/>
        <sz val="11"/>
        <color theme="1"/>
        <rFont val="Calibri"/>
        <family val="2"/>
        <scheme val="minor"/>
      </rPr>
      <t>1</t>
    </r>
  </si>
  <si>
    <r>
      <t>% Electricity Generated from Renewables (incuding nuclear)</t>
    </r>
    <r>
      <rPr>
        <vertAlign val="superscript"/>
        <sz val="11"/>
        <color theme="1"/>
        <rFont val="Calibri"/>
        <family val="2"/>
        <scheme val="minor"/>
      </rPr>
      <t>2</t>
    </r>
  </si>
  <si>
    <t xml:space="preserve">2. Assumes carbon intensity of renewable electricty generation (wind, solar, hydro, nuclear) averages 10gCO2e/kWh; carbon intensity of fossil fuel electricty generation (coal, lignite, oil, gas)averages 690gCO2e/kWh </t>
  </si>
  <si>
    <t>gCO2e/km</t>
  </si>
  <si>
    <t>gCO2e/kWh</t>
  </si>
  <si>
    <t>kWh/km</t>
  </si>
  <si>
    <t xml:space="preserve">Average electric battery energy consumption/km </t>
  </si>
  <si>
    <r>
      <t>Improvement in battery technology - reduce vehicle energy consumption</t>
    </r>
    <r>
      <rPr>
        <vertAlign val="superscript"/>
        <sz val="11"/>
        <color theme="1"/>
        <rFont val="Calibri"/>
        <family val="2"/>
        <scheme val="minor"/>
      </rPr>
      <t>3</t>
    </r>
  </si>
  <si>
    <r>
      <t>improvement in ICE engine efficiency - reduction in petrol/diesel fuel emissions</t>
    </r>
    <r>
      <rPr>
        <vertAlign val="superscript"/>
        <sz val="11"/>
        <color theme="1"/>
        <rFont val="Calibri"/>
        <family val="2"/>
        <scheme val="minor"/>
      </rPr>
      <t>4</t>
    </r>
    <r>
      <rPr>
        <sz val="11"/>
        <color theme="1"/>
        <rFont val="Calibri"/>
        <family val="2"/>
        <scheme val="minor"/>
      </rPr>
      <t xml:space="preserve"> (gCO2/km)</t>
    </r>
  </si>
  <si>
    <t xml:space="preserve">4. Improvements in petrol/diesel fuel emissions can be due to manufacturers improvements in engine efficiency.  Ot is also possible to achieve reductions in fuel emissions due to changes in driver behaviour by promoting eco-driving principles. The most effective of these include lowering driving speeds on motorways and A roads, changing gear sooner, and driving more smoothly with less need for braking and acceleration. This can reduce fuel emissions from 5% up to 15%.    </t>
  </si>
  <si>
    <t>Under the “Fit for 55” initiative, in 2021 the European Commission proposed new CO2 emissions targets for 2030 and 2035. The new targets require CO2 emissions reductions of 55% for cars and 50% for vans by 2030, and 100% for both by 2035. Given that it effectively mandates that all vehicles sold be zero-emissions by 2035, the target will accelerate the transition to more efficient EV powertrains in Europe.</t>
  </si>
  <si>
    <t xml:space="preserve">% car driver related carbon avoided relative to 2020  </t>
  </si>
  <si>
    <t>https://theicct.org/sites/default/files/publications/ICCTupdate_EU-95gram_jan2014.pdf</t>
  </si>
  <si>
    <r>
      <t>improvement in ICE engine efficiency - reduction in petrol/diesel fuel emissions (gCO2/km)</t>
    </r>
    <r>
      <rPr>
        <vertAlign val="superscript"/>
        <sz val="10"/>
        <color theme="1"/>
        <rFont val="Calibri"/>
        <family val="2"/>
        <scheme val="minor"/>
      </rPr>
      <t>5</t>
    </r>
  </si>
  <si>
    <t xml:space="preserve">5. ICCT has reviewed the impact of the EU’s fuel economy standards since 2001, and found that compared to a baseline scenario without mandatory CO2standards, the current EU policy has helped to reduce the average new car real-world CO2level by 18% since 2001. An average annual reduction of only 1% per year.  </t>
  </si>
  <si>
    <t>https://theicct.org/sites/default/files/publications/Role_of_EU-CO2_Standard_20180212.pdf</t>
  </si>
  <si>
    <t xml:space="preserve">https://www.eea.europa.eu/ims/co2-performance-of-new-passenger </t>
  </si>
  <si>
    <t xml:space="preserve">1. Assumes 90% of shopping, leisure, education trips within 15 minutes from home are walked, cycled or use PT </t>
  </si>
  <si>
    <t xml:space="preserve">Area Type </t>
  </si>
  <si>
    <t>% all trips by distance band</t>
  </si>
  <si>
    <t>Peri-Urban</t>
  </si>
  <si>
    <t>&lt;3 km</t>
  </si>
  <si>
    <t>3-8km</t>
  </si>
  <si>
    <t>&gt;8km</t>
  </si>
  <si>
    <t xml:space="preserve">% of total car driver distance  </t>
  </si>
  <si>
    <t>Total</t>
  </si>
  <si>
    <t xml:space="preserve">% of total distance  </t>
  </si>
  <si>
    <t xml:space="preserve">% car veh-km </t>
  </si>
  <si>
    <t>% change in car surface transport carbon emission from 1990 to 2020</t>
  </si>
  <si>
    <t>AVOID policy</t>
  </si>
  <si>
    <t xml:space="preserve">Increase in % working from home </t>
  </si>
  <si>
    <t>Increase in % personal business trips (e.g. banking, health) are digitised or become telephone consultation</t>
  </si>
  <si>
    <t>Incerase in % shopping delivered to the home</t>
  </si>
  <si>
    <t>Increase in % of trips for shopping, leisure and education localised within a 15 minute walk from home</t>
  </si>
  <si>
    <t>SHIFT policy</t>
  </si>
  <si>
    <t>Shift from car mode share to alternative modes</t>
  </si>
  <si>
    <t>Commuter trips</t>
  </si>
  <si>
    <t>All trips</t>
  </si>
  <si>
    <t>2020 car driver mode share (%)</t>
  </si>
  <si>
    <t>IMPROVE / SWITCH policy</t>
  </si>
  <si>
    <t xml:space="preserve">% electric battery efficiency improvement by 2050 </t>
  </si>
  <si>
    <t>% convention fuel efficiency improvement by 2050</t>
  </si>
  <si>
    <t>% electricy generated from renewables by 2050</t>
  </si>
  <si>
    <t>% carbon reduction</t>
  </si>
  <si>
    <t>% electric veh uptake</t>
  </si>
  <si>
    <t>1990-2020</t>
  </si>
  <si>
    <t>Home delivery</t>
  </si>
  <si>
    <t>Localisation</t>
  </si>
  <si>
    <t>AVOID Policy</t>
  </si>
  <si>
    <t>SHIFT Policy</t>
  </si>
  <si>
    <t>Car to Cycle / PT</t>
  </si>
  <si>
    <t>Car to PT / Carpool</t>
  </si>
  <si>
    <t>10% BEV</t>
  </si>
  <si>
    <t>20%BEV</t>
  </si>
  <si>
    <t>40%BEV</t>
  </si>
  <si>
    <t>Online / Teleservices</t>
  </si>
  <si>
    <t>Car to Walk / Cycle</t>
  </si>
  <si>
    <t>Work from Home</t>
  </si>
  <si>
    <t>60%BEV</t>
  </si>
  <si>
    <t>80%BEV</t>
  </si>
  <si>
    <t>100%BEV</t>
  </si>
  <si>
    <t>Reduced ICE gains@20%BEV</t>
  </si>
  <si>
    <t>Reduced ICE gains@40%BEV</t>
  </si>
  <si>
    <t>Reduced ICE gains@60%BEV</t>
  </si>
  <si>
    <t>Reduced ICE gains@80%BEV</t>
  </si>
  <si>
    <t>Reduced ICE gains@100%BEV</t>
  </si>
  <si>
    <t>Reduced ICE gains@10%BEV</t>
  </si>
  <si>
    <t>ICE fuel efficiency@0%BEV</t>
  </si>
  <si>
    <t>Urban</t>
  </si>
  <si>
    <t>Peri urban</t>
  </si>
  <si>
    <t>% CO2 avoided</t>
  </si>
  <si>
    <t xml:space="preserve">What type of area best describes your city </t>
  </si>
  <si>
    <t>Enter % change in car surface transport carbon emission from 1990 to 2019</t>
  </si>
  <si>
    <t>% electric vehicle uptake 2030</t>
  </si>
  <si>
    <t>rural</t>
  </si>
  <si>
    <t>peri urban</t>
  </si>
  <si>
    <t xml:space="preserve">urban </t>
  </si>
  <si>
    <t>0% improvement in ICE fuel efficiency</t>
  </si>
  <si>
    <t>10% improvement in ICE fuel efficiency</t>
  </si>
  <si>
    <t>20% improvement in ICE fuel efficiency</t>
  </si>
  <si>
    <t>30% improvement in ICE fuel efficiency</t>
  </si>
  <si>
    <t>AVOID strategy - Working from Home</t>
  </si>
  <si>
    <t>AVOID strategy - Digital access to services (GP, banking, personal business)</t>
  </si>
  <si>
    <t>AVOID strategy - Home delivery shopping</t>
  </si>
  <si>
    <t>IMPROVE policy - Average gCO2e/km based on IMPROVING fuels to battery electric, IMPROVING  electricity generation to renewables, IMPROVING fuel efficiency of ICE, IMRPOVING feul efficieny of electric battery</t>
  </si>
  <si>
    <t>INPUT PARAMETERS</t>
  </si>
  <si>
    <t>Background data</t>
  </si>
  <si>
    <t>IMPROVE</t>
  </si>
  <si>
    <t>INPUT parameters</t>
  </si>
  <si>
    <t>% point increase in working from home - expressed as increase in WfH rate</t>
  </si>
  <si>
    <t xml:space="preserve">% point increase in proportion of personal business trips that can be digitised </t>
  </si>
  <si>
    <t>% point increase in shopping trips that can be home delivery</t>
  </si>
  <si>
    <t>% point increase of daily trips for shopping, leisure, education activities localised within 15-minute walkable neighbourhood</t>
  </si>
  <si>
    <t>% point decrease in car driver mode share resulting from SHIFT measures</t>
  </si>
  <si>
    <t>Linear</t>
  </si>
  <si>
    <t>Front loaded</t>
  </si>
  <si>
    <t>Back loaded</t>
  </si>
  <si>
    <t>Start</t>
  </si>
  <si>
    <t>End</t>
  </si>
  <si>
    <t>2050 average</t>
  </si>
  <si>
    <t>2030 average</t>
  </si>
  <si>
    <t>Enter the % of electricy generated from renewables (including nuclear) 2019 base</t>
  </si>
  <si>
    <t>Base Year Energy Generation from Renewables</t>
  </si>
  <si>
    <t>2050 Energy Generation from Renewables</t>
  </si>
  <si>
    <t>% electricy generated from renewables base year</t>
  </si>
  <si>
    <t>FINAL YEAR Electricty Generation</t>
  </si>
  <si>
    <t>BASE YEAR Electricty Generation</t>
  </si>
  <si>
    <t>Base Year</t>
  </si>
  <si>
    <t xml:space="preserve">2050 final </t>
  </si>
  <si>
    <t>10% BEV_renewable electricity scale up</t>
  </si>
  <si>
    <t>10% BEV_electric veh scale up</t>
  </si>
  <si>
    <t>10% BEV_all factors taken into account</t>
  </si>
  <si>
    <t>20% BEV_renewable electricity scale up</t>
  </si>
  <si>
    <t>20% BEV_electric veh scale up</t>
  </si>
  <si>
    <t>20% BEV_all factors taken into account</t>
  </si>
  <si>
    <t>40% BEV_renewable electricity scale up</t>
  </si>
  <si>
    <t>40% BEV_electric veh scale up</t>
  </si>
  <si>
    <t>40% BEV_all factors taken into account</t>
  </si>
  <si>
    <t>60% BEV_renewable electricity scale up</t>
  </si>
  <si>
    <t>60% BEV_electric veh scale up</t>
  </si>
  <si>
    <t>60% BEV_all factors taken into account</t>
  </si>
  <si>
    <t>80% BEV_renewable electricity scale up</t>
  </si>
  <si>
    <t>80% BEV_electric veh scale up</t>
  </si>
  <si>
    <t>80% BEV_all factors taken into account</t>
  </si>
  <si>
    <t>100% BEV_renewable electricity scale up</t>
  </si>
  <si>
    <t>100% BEV_electric veh scale up</t>
  </si>
  <si>
    <t>100% BEV_all factors taken into account</t>
  </si>
  <si>
    <t>2030 final compared to 2020</t>
  </si>
  <si>
    <t>2050 final compared to 2020</t>
  </si>
  <si>
    <t>2030 average (2021-2030)</t>
  </si>
  <si>
    <t>2050 average (2021-2050)</t>
  </si>
  <si>
    <t>2050 final compared to 1990</t>
  </si>
  <si>
    <t>2030 final compared to 1990</t>
  </si>
  <si>
    <t>ICE fuel efficiency@10%BEV</t>
  </si>
  <si>
    <t>ICE fuel efficiency@20%BEV</t>
  </si>
  <si>
    <t>20% BEV</t>
  </si>
  <si>
    <t>ICE fuel efficiency@40%BEV</t>
  </si>
  <si>
    <t>40% BEV</t>
  </si>
  <si>
    <t>ICE fuel efficiency@60%BEV</t>
  </si>
  <si>
    <t>ICE fuel efficiency@80%BEV</t>
  </si>
  <si>
    <r>
      <rPr>
        <i/>
        <sz val="11"/>
        <color theme="1"/>
        <rFont val="Calibri"/>
        <family val="2"/>
        <scheme val="minor"/>
      </rPr>
      <t>80</t>
    </r>
    <r>
      <rPr>
        <sz val="11"/>
        <color theme="1"/>
        <rFont val="Calibri"/>
        <family val="2"/>
        <scheme val="minor"/>
      </rPr>
      <t>% BEV</t>
    </r>
  </si>
  <si>
    <t>ICE fuel efficiency@100%BEV</t>
  </si>
  <si>
    <r>
      <rPr>
        <i/>
        <sz val="11"/>
        <color theme="1"/>
        <rFont val="Calibri"/>
        <family val="2"/>
        <scheme val="minor"/>
      </rPr>
      <t>100</t>
    </r>
    <r>
      <rPr>
        <sz val="11"/>
        <color theme="1"/>
        <rFont val="Calibri"/>
        <family val="2"/>
        <scheme val="minor"/>
      </rPr>
      <t>% BEV</t>
    </r>
  </si>
  <si>
    <t>60% BEV</t>
  </si>
  <si>
    <t>100% BEV</t>
  </si>
  <si>
    <t>80% BEV</t>
  </si>
  <si>
    <t>Residual emissions</t>
  </si>
  <si>
    <t>List</t>
  </si>
  <si>
    <t xml:space="preserve">2030 Waterfall Chart </t>
  </si>
  <si>
    <t xml:space="preserve">2050 Waterfall Chart </t>
  </si>
  <si>
    <t xml:space="preserve">SELECT YEAR TO VIEW RESULTS BY THAT DATE </t>
  </si>
  <si>
    <t>$</t>
  </si>
  <si>
    <t>1990-2020 change</t>
  </si>
  <si>
    <t>2020 emissions as % of 1990</t>
  </si>
  <si>
    <t xml:space="preserve">Start </t>
  </si>
  <si>
    <t>1990-2020 emissions</t>
  </si>
  <si>
    <t>% carbon reduction 1990-2020</t>
  </si>
  <si>
    <t>Calculation of carbon reduction impacts at 2050 without accounting for timings of policy introduction / take up between 2020 and 2050</t>
  </si>
  <si>
    <t>Calcultion of carbon reduction impacts for each year between 2021 and 2050 accounting for timings of policy introduction / take up</t>
  </si>
  <si>
    <t xml:space="preserve">Calculation of % total carbon reduction from all policy areas per year compared to 2020, and average annual carbon reduction per year 2020-2030 and 2020-2050 </t>
  </si>
  <si>
    <t>All policies with 0% BEV</t>
  </si>
  <si>
    <t>All policies with 10% BEV</t>
  </si>
  <si>
    <t>All policies with 20% BEV</t>
  </si>
  <si>
    <t>All policies with 40% BEV</t>
  </si>
  <si>
    <t>All policies with 60% BEV</t>
  </si>
  <si>
    <t>All policies with 80% BEV</t>
  </si>
  <si>
    <t>All policies with 100% BEV</t>
  </si>
  <si>
    <t>Data for carbon reduction by policy area over time 2020-2050 (100% BEV by 2050)</t>
  </si>
  <si>
    <t>Data for carbon reduction by policy area over time 2020-2050 (80% BEV by 2050)</t>
  </si>
  <si>
    <t>Data for carbon reduction by policy area over time 2020-2050 (60% BEV by 2050)</t>
  </si>
  <si>
    <t>Data for carbon reduction by policy area over time 2020-2050 (0% BEV by 2050)</t>
  </si>
  <si>
    <t>Data for carbon reduction by policy area over time 2020-2050 (10% BEV by 2050)</t>
  </si>
  <si>
    <t>Data for carbon reduction by policy area over time 2020-2050 (20% BEV by 2050)</t>
  </si>
  <si>
    <t>Data for carbon reduction by policy area over time 2020-2050 (40% BEV by 2050)</t>
  </si>
  <si>
    <t>100%</t>
  </si>
  <si>
    <t>80%</t>
  </si>
  <si>
    <t>60%</t>
  </si>
  <si>
    <t>40%</t>
  </si>
  <si>
    <t>20%</t>
  </si>
  <si>
    <t>10%</t>
  </si>
  <si>
    <t>0%</t>
  </si>
  <si>
    <t>Trips &lt; 3km (car to walk/cycle)</t>
  </si>
  <si>
    <t>Trips 3-8km (car to cycle/PT)</t>
  </si>
  <si>
    <t>Trips &gt;8km (car to PT/carpool)</t>
  </si>
  <si>
    <t xml:space="preserve">Cost of electricity </t>
  </si>
  <si>
    <t>Year</t>
  </si>
  <si>
    <t>CUMULATIVE EMISSIONS 2020-2050</t>
  </si>
  <si>
    <t>2020 levels</t>
  </si>
  <si>
    <t>1.5 degrees target</t>
  </si>
  <si>
    <t>Selected Policy Mix</t>
  </si>
  <si>
    <t>Enter forecast % change in population from 2020 to 2050</t>
  </si>
  <si>
    <t>% change in population 2020-2050</t>
  </si>
  <si>
    <t>.</t>
  </si>
  <si>
    <t>Trips &gt; 8km (car to PT/carpool)</t>
  </si>
  <si>
    <t xml:space="preserve">Change in Population </t>
  </si>
  <si>
    <t>Speed of Renewables Transition</t>
  </si>
  <si>
    <t>Speed of electric vehicles Transition</t>
  </si>
  <si>
    <t>Speed of societal change to digital access</t>
  </si>
  <si>
    <t>Cost of petrol / diesel</t>
  </si>
  <si>
    <t>Higher</t>
  </si>
  <si>
    <t>Lower</t>
  </si>
  <si>
    <t>Slower</t>
  </si>
  <si>
    <t>Faster</t>
  </si>
  <si>
    <t>Stress test: population change 2020 to 2050</t>
  </si>
  <si>
    <t>Stress test: electric vehicles uptake end year</t>
  </si>
  <si>
    <t xml:space="preserve">Stress test: renewables transition end year </t>
  </si>
  <si>
    <t>Stress test: digital access end year (full effect)</t>
  </si>
  <si>
    <t xml:space="preserve">Stress test: electric vehicles uptake start year </t>
  </si>
  <si>
    <t>Input: shift from car to alternative modes</t>
  </si>
  <si>
    <t>Stress test: shift from car to alternative modes (adjustment factor - applied only to electric cars)</t>
  </si>
  <si>
    <t>Stress test: shift from car to alternative modes (adjustment factor-applied only to petrol/diesel cars)</t>
  </si>
  <si>
    <t>Input: population change 2020 to 2050</t>
  </si>
  <si>
    <t>Input: renewables transition end year</t>
  </si>
  <si>
    <t>Input: electric vehicles uptake end  year</t>
  </si>
  <si>
    <t>Input: societal change to digital access (full effect)</t>
  </si>
  <si>
    <t xml:space="preserve">Input: electric vehicles uptake start year </t>
  </si>
  <si>
    <t>Cumulative emissions based on 2020 levels with no improvement (do nothing scenario)</t>
  </si>
  <si>
    <t>Cumulative emissions target to remain within 1.5 degrees celcius temperature rise</t>
  </si>
  <si>
    <t xml:space="preserve">Cumulative emissions estimated for selected policy mix </t>
  </si>
  <si>
    <t>BEV take up</t>
  </si>
  <si>
    <t>`</t>
  </si>
  <si>
    <t>BEV_reductions for selected %BEV</t>
  </si>
  <si>
    <t>ICE gains@Selected%BEV</t>
  </si>
  <si>
    <t>ICE fuel efficiency gains</t>
  </si>
  <si>
    <t>BEV gains</t>
  </si>
  <si>
    <t>Selection</t>
  </si>
  <si>
    <t>Due to Pop. Change (2020-2050)</t>
  </si>
  <si>
    <t>1990 to 2020 emissions change</t>
  </si>
  <si>
    <t>uptake proportion by year</t>
  </si>
  <si>
    <t>2030 total carbon reduction (vs 1990)</t>
  </si>
  <si>
    <t>2050 total carbon reduction (vs 1990)</t>
  </si>
  <si>
    <t>BEV proprtion required for 2030 target</t>
  </si>
  <si>
    <t>2030 Cumulative reduction</t>
  </si>
  <si>
    <t xml:space="preserve">Green deal target </t>
  </si>
  <si>
    <t xml:space="preserve">Fit for 55' and Green Deal target </t>
  </si>
  <si>
    <t>Avoid the need to travel through increases in working from home</t>
  </si>
  <si>
    <t>Avoid the need to travel through increase in personal business trips (e.g. banking, health) that are digitised or become telephone consultation</t>
  </si>
  <si>
    <t>Avoid the need to travel through increase in shopping delivered to the home</t>
  </si>
  <si>
    <t>Reduce congestion</t>
  </si>
  <si>
    <t>Increase safety</t>
  </si>
  <si>
    <t xml:space="preserve">Enhance accessibility </t>
  </si>
  <si>
    <t xml:space="preserve">Support economic growth </t>
  </si>
  <si>
    <t xml:space="preserve">Meet new housing demand </t>
  </si>
  <si>
    <t>Enhance health and wellbeing</t>
  </si>
  <si>
    <t>Promote equity and social inclusion</t>
  </si>
  <si>
    <t>AVOID strategies</t>
  </si>
  <si>
    <t>SHIFT strategies</t>
  </si>
  <si>
    <t>IMPROVE strategies</t>
  </si>
  <si>
    <t>Improve ICE fuel efficiency of conventional cars on the road</t>
  </si>
  <si>
    <t>Improve electric battery efficiency</t>
  </si>
  <si>
    <t>Improve electric vehicle takeup</t>
  </si>
  <si>
    <t xml:space="preserve">Imrpove air quality </t>
  </si>
  <si>
    <t xml:space="preserve">As commuter car trips are avoided through increased working from home, peak hour congestion is reduced. The higher car mode share for commuter trips, the higher the potential for congestion reduction. </t>
  </si>
  <si>
    <t xml:space="preserve">The more car trips removed from the network the lower the risk of accidents involving cars.   </t>
  </si>
  <si>
    <t xml:space="preserve">Increased working from home removes physical limits on accessing workplaces. This means more people have the opportunitiy to access more jobs. Broadband infrastructure and speed may limit access to working from home for those in certain rural areas.  </t>
  </si>
  <si>
    <t>Increased working from home can disperse the demand for housing away from city centres where the largest numbers of jobs are physically located. This can ease the demand for new housing in the areas where housing is in short supply and there is no space for new housing.  Working from home may create more demand for larger houses with spare rooms/home offices.</t>
  </si>
  <si>
    <t xml:space="preserve">Working from home can give more flexibility in working hours allowing for leisure breaks during the day. It may also allow more healthy eating habits to be developed. Many people find the isolation and lack of social contact when working from home difficult to adjust to, leading to mental helath prolems and deterioration in wellbeing. People who previously walked or cycled to work may find they are less active.   </t>
  </si>
  <si>
    <t xml:space="preserve">Digital access to personal services removes constraints and barriers to accessing physical locations. This means more people have the opportunitiy to access services in a more convenient fashion. Broadband infrastructure and speed may limit digital access to personal services for those in certain rural areas.   </t>
  </si>
  <si>
    <t xml:space="preserve">Unlikely to have any effect on housing demand.  </t>
  </si>
  <si>
    <t xml:space="preserve">Unlikely to have much effect on health and wellbeing. Provision of telehealth services may increase availability and reduce wait times for initial health consultations which could lead to earlier diagnosis of conditions. </t>
  </si>
  <si>
    <t xml:space="preserve">Certain vulnerable groups who are less PC literate may be disadvantaged by moves to homeworking. Emloyees without suitable equipment at home or without a quiet space in which to work (office of spare room) may be disadvantaged. Homeworking is advantageous for workers that may have childcare responsibilities (proportionally more women).  Not all jobs are possible to work from home. Research (McKinsey, 2020) indicates that in total across all sectors there is an estimated effective potential (effective potential includes only activities that can be done remotely without losing effectiveness) for working from home of 33% in the UK, for Germany it is 30% and for France it is 28%. The finance, management, professional services and information sectors were found to have the highest potential for remote work. </t>
  </si>
  <si>
    <t xml:space="preserve">Digital and teleservices remove the need to travel and so inequities associated with the transport system and the wide variation in ability to travel to destinations where personal services are provided are no longer an issue. Certain vulnerable groups who are less PC literate or without suitable technology at home may be disadvantaged by moves to digitise access to personal services. Poor broadband connections may disadvantage people in some areas. Ability to pay for broadband may be a barrier for some.  </t>
  </si>
  <si>
    <t xml:space="preserve">In general, the more car trips removed from the network the lower the risk of accidents involving cars.  However, the increased presence of larger delivery vehicles may result in additional safety risk for vulnerable road users in residential neighbourhoods.   </t>
  </si>
  <si>
    <t xml:space="preserve">On-line access to shopping services removes constraints and barriers to accessing physical shop locations. This means more people have the opportunitiy to access more goods in a more convenient fashion. Broadband infrastructure and speed may limit digital access to shopping services for those in certain rural areas.  Availability to receive deliveries at convenient times may limit access to on-line shopping for some.  </t>
  </si>
  <si>
    <t xml:space="preserve">The transition to on-line shoping and home delivery, will likely result in structural changes in the retail sector with less high street and supermarket store locations and more consolidation centres for direct distribution to homes. While this is likely to result in some job loses in stores, there will be more jobs created in the delivery chain. Redundant store locations may be repurposed to entertainment outlets (food and drink, leisure) or developed for housing.    </t>
  </si>
  <si>
    <t xml:space="preserve">Unlikely to have significant effect. Redundant store locations may be redeveloped for housing.    </t>
  </si>
  <si>
    <t xml:space="preserve">Unlikely to have much effect on health and wellbeing. The act of shopping is seen as cathartic by some but stressful for others. Boutique shops and clothes retailers where browsing is important will likley remain as physical outlets.  Shopping for more mundane items and regular purchases most likely to move on-line. The social aspect to shopping and the physical aspect of walking while shopping is lost when shopping on-line - this may have small negative consequences on health and wellbeing. </t>
  </si>
  <si>
    <t xml:space="preserve">On-line shopping and home delivery remove the need to travel and so inequities associated with the transport system and the wide variation in ability to travel to shopping destinations are no longer an issue. Certain vulnerable groups who are less PC literate or without suitable technology at home may be disadvantaged by moves to digitise access to shopping. Poor broadband connections may disadvantage people in some areas. Ability to pay for broadband may be a barrier for some. Lack of presence at home to receive deliveries or lack of a secure place to leave deliveries may disadvantage some people and deter them from on-line shopping.   </t>
  </si>
  <si>
    <t xml:space="preserve">The more daily amenities and services that can be provided within walking distance from home, the less is the need for car trips. The extent to which this contributes to congestion relief depends on the underlying congestion levels at the time of day and in the locations the previous car trips are removed from.       </t>
  </si>
  <si>
    <t xml:space="preserve">Removing the need to travel for shopping reduces the number of cars on the road. How much this reduces congestion depends on level of car use for the trips avoided and the congestion levels at the time of day where car trips have been removed from. Home deliveries does generate trips by delivery vehicles. The extent to which this contributes to congestion depends on the level of linked deliveries that can be achieved and the underlying congestion levels at the time of day the deliveries are made.     </t>
  </si>
  <si>
    <t xml:space="preserve">Removing the need to travel reduces trips. How much this reduces congestion depends on level of car use for the trips avoided and the congestion levels at the time of day and in the locations where the trips were previously made.  </t>
  </si>
  <si>
    <t xml:space="preserve">In general, the more car kms removed from the network the lower the risk of accidents involving cars. Reducing car presence around schools will be especially beneficial for increasing safety. Encouraging more walk and cycle trips rather than car use will improve safety as long as well designed infrastructure and traffic management protecting these users from cars is in place. </t>
  </si>
  <si>
    <t xml:space="preserve">Bringing the location of daily amenities and services closer to where people live enhances accessibility. For those who are mobility impaired and unable to walk, suitable transport should be provided though use of mobility scooters or door-to-door accessible public transport.  </t>
  </si>
  <si>
    <t>Avoid the need to travel so far through spatial land use planning: increase of trips for shopping, leisure and education localised within a 15 minute walk from home</t>
  </si>
  <si>
    <t xml:space="preserve">Spatial land-use planning centred on mixed use developments that support local living can provide a model for meeting new housing demand. This can include densification of existing urban areas where good local amenities already exist, while also ensuring new developments have a wide range of local services and amenities which are within walking distance. This could break the cycle of car dependency and support more sustainable housing development.   </t>
  </si>
  <si>
    <t xml:space="preserve">This is likely to have a strong positive effect on helath and wellbeing. Local availability of daily amenities and services encourages more walking and cycling and less car trips. Vibrant neighbourhood communities enhances feelings of belonging and provides social meeting points for more of society. Less time spent travelling longer distances means more time for social and leisure activities.     </t>
  </si>
  <si>
    <t xml:space="preserve">Local availability of daily amenities and services means better access to essential goods, services and activities for more of society. Stronger and more vibrant local communities can feel more inclusive and caring for isolated and vulnerable members of society.    </t>
  </si>
  <si>
    <t xml:space="preserve">Switching from car to walk and cycle has positive impacts for air quality. Switching from car to PT is also liklely to result in positive impacts where clean engine technology is utilised on PT vehicles. Where old diesel engine buses still operate improvements in air quality will be reduced. As electric vehicle uptake increases within the private car fleet there is less net benefit to improved air quality from avoided trips.  </t>
  </si>
  <si>
    <t xml:space="preserve">In general, the more car kms removed from the network the lower the risk of accidents involving cars. However, the increased presence of larger public transport vehicles that frequently stop and start may result in additional safety risk for cyclists where shared bus and cycle lanes exist. Additionally, where there is increased interaction between cars and pedestrians or cyclists, there is heightened risk of accidents. Well designed infrastructure and traffic management protecting these users from cars is needed.   </t>
  </si>
  <si>
    <t xml:space="preserve">The more cities are designed for walking, cycling and public transport the more amenities and services become accessible to those without access to cars. Where destinations are too far to walk or cycle expanding the coverage and frequency of the accessible public transport network is needed. Where destinations are close then providing safe and attractive walk and cycling infrastructure is necessary.      </t>
  </si>
  <si>
    <t xml:space="preserve">Research on working from home has revealed that productivity levels tend not to suffer and can increase when homeworking. Time saved by not travelling can be put to more productive purposes. Less cars on the network leads to reduced journey times which has economic benefits, but there will be a drop in fuel tax revenues associated with less private veh-km. Businesses located within centres of employment where office jobs are located suffer from lower demands as more people work from home. This may lead to staff redundancies or business closures. Some businesses will relocate to local neighbourhoods where daytime consumers may have increased as home workers now shop and leisure activities in their local neighbourhood.    </t>
  </si>
  <si>
    <t xml:space="preserve">The transition to on-line and teleservices, while delivering more efficiencies in costs of provision, is likely to also result in some job loses.  </t>
  </si>
  <si>
    <t xml:space="preserve">Time saved by not travelling can be put to more productive purposes. Less cars on the network leads to reduced journey times which has economic benefits, but there will be a drop in fuel tax revenues associated with less private veh-km. More vibrant and economically prosperous local neighbourhoods may emerge at the cost of a decline in economic output of city centres. City centres could refocus some activities and services towards visitors and tourism.  </t>
  </si>
  <si>
    <t xml:space="preserve">Achieving a shift from car to alternative modes and providing priority to these alternative modes reduces journey times and improves journey time reliability for all road users.  Fare revenues for PT will increase, although there will be a drop in fuel tax revenues associated with less private veh-km. Access to job opportunities may be enhanced by for those withour access to private cars. Less car dominated cities and better connections may support growth in visitors and tourism in the city.  </t>
  </si>
  <si>
    <t xml:space="preserve">Good quality frequent public transport extending out of the main city may support transit oriented developments outside the main urban areas in existing peripheral towns or to new town developments (where space is available). These new developments should be mixed use, encouraging walk and cycle for local trips and built around mobility hubs providing fast and efficient connections to the main urban areas.  </t>
  </si>
  <si>
    <t xml:space="preserve">Shifting from car to walk for short trips or to cycle for short and medium length trips has obvious health benefits. Shifting from car to public transport for longer journeys also involves some walking to and from PT stops, and more than when using the car. However, increased journeys times and long waits associated with poor quality PT services may impact negatively on wellbeing compared to the convenisnce of using the car.      </t>
  </si>
  <si>
    <t xml:space="preserve">Designing for walk, cycle and public transport ahead of the car has obvious equality and inclusion benefits for non-car owners and generally there will be positive impact related to this objective. However, not everybody has equal ability to walk or cycle and so suitable mobility alternatives must also be provided where these modes are prioritised. Similarly public transport vehicles, infrastructure and operations need to be accessible, empahetic and safe for vulnerable persons and affordable to those on low incomes.    </t>
  </si>
  <si>
    <t>Shift from car driver mode share to alternative modes: for journeys under 3km promotion of shift from car to walk and cycle; for journeys between 3km and 8km promotion of shift from car to cycle and PT;  for journeys over 8km promotion of shift from car to PT and carpool.</t>
  </si>
  <si>
    <t xml:space="preserve">Shifting mode for short journeys from car trips to walk and cycle may have significant impacts in city centres where congestion is likely to be worst.  In local suburban neighbourhoods congestion is less likely to be an issue except at particular times of day in particular locations (e.g. around schools at start and end of school day). Switching short trips education related trips to walk and cycle will relieve local congestion but will have limited impact city wide. Removing cars from the network for medium length journeys through switching to cycle or PT can alleviate congestion on main roads at the busiest times. Shifting from car to PT or carpooling for longer journeys is likely to have most impact on congestion along main arterial corridors into city centres during peak hours.  </t>
  </si>
  <si>
    <t>No impact on reducing congestion.</t>
  </si>
  <si>
    <t xml:space="preserve">No significant impact on reducing congestion. Lower fuel consumption may encourage slightly more car use. </t>
  </si>
  <si>
    <t xml:space="preserve">No significant impact on reducing congestion. Lower fuel costs may encourage slightly more car use. </t>
  </si>
  <si>
    <t>Neutral - improvements accounted for in initial electric vehicle take-up.</t>
  </si>
  <si>
    <t>Strong positive impact - Electric cars have zero tailpipe emissions which means a 100% reduction of NOx and Particulate (PM) emissions compared to conventional exhaust in the local area. However vehicles also create PM emissions from ‘Non Exhaust’ sources which are tyre, brake, clutch and road surface wear.</t>
  </si>
  <si>
    <t xml:space="preserve">Avoided commuter car trips result in less NOx and Particulate (PM) emissions and improved air quality. The higher car mode share for commuter trips, the higher the potential for air quality improvements. As electric vehicle uptake increases there is less net benefit to improved air quality from avoided trips.  </t>
  </si>
  <si>
    <t xml:space="preserve">Avoided trips result in less NOx and Particulate (PM) emissions and improved air quality. The higher car mode share for personal business trips, the higher the potential for air quality improvements. As electric vehicle uptake increases there is less net benefit to improved air quality from avoided trips.  </t>
  </si>
  <si>
    <t xml:space="preserve">Avoided car trips for shopping result in less NOx and Particulate (PM) emissions and improved air quality. The higher car mode share for shopping trips, the higher the potential for air quality improvements. As electric vehicle uptake increases there is less net benefit to improved air quality from avoided trips. Some of the air quality benefit from removing cars trips will be eroded by the delivery vehicles trips that replace them. To minimise the negative impact on air quality of delivery vehicles these should use clean fuels.    </t>
  </si>
  <si>
    <t xml:space="preserve">Avoided car trips or reducing the distance of car trips result in less NOx and Particulate (PM) emissions and improved air quality. The higher the car mode share for daily trips to shopping, leisure, education, the higher the potential for air quality improvements. As many of these activities are centred around congested city centre high streets, or around schools, the air quality benefits from avoiding these trips are likely to be high. As electric vehicle uptake increases there is less net benefit to improved air quality from avoided trips. </t>
  </si>
  <si>
    <t xml:space="preserve">Slight improvement in air quality where fuel efficiency improvements also include improvements in NOx and Particulate (PM) emissions. </t>
  </si>
  <si>
    <t>No impact on increasing safety.</t>
  </si>
  <si>
    <t>No impact on enhancing accessibility.</t>
  </si>
  <si>
    <t xml:space="preserve">Electric vehicles are not accessible for everyone due to higher cost of purchase and in some city locations limited facilities for off-street charging (flats and housing without driveways).  </t>
  </si>
  <si>
    <t xml:space="preserve">While electric cars have a higher initial cost than ICE cars, they are usually more affordable in the long-term. The relative costs are likely to more strongly favour electric vehicle ownership in the future. This means there is likely to be more disposable income to spend in the wider economy compared to ICE alternative. Related to this there will be a drop in petrol and diesel fuel tax revenues. It is also likely that there will be less demand and need for jobs in the after sales vehicle servicing, mainteance and parts industries.  </t>
  </si>
  <si>
    <t>No significant impact.</t>
  </si>
  <si>
    <t xml:space="preserve">Better air quality associated with electric vehicles compared to ICE vehicles leads to health benefits. This is accounted for in the air quality objective. No other benefits.  </t>
  </si>
  <si>
    <t xml:space="preserve">The higher cost of electric vehicle purchase is a significant barrier to electric vehicle ownership for many. Subsidies should be considered to remove this barrier. Lack of access to off-street charging points also creates inequity: on-street charging points are limited in number and more expensive to use. Residents in flats and in higher density housing without driveway parking do not have the same opportunity for electric vehicle charging.   </t>
  </si>
  <si>
    <t xml:space="preserve">Note that when making a judgement on the impact that each strategy can have on a particular objective, it is useful to consider the geographic location and scale within the FUA that the strategy would take effect. It is also important to think about the impact of the strategy on different groups of the population identifying those that may be adversely affected and considering the ways in which they can be protected or shielded from potentially negative effects to ensure just transitions for all.   </t>
  </si>
  <si>
    <t>Tick box to use default values</t>
  </si>
  <si>
    <t>AVOID strategy</t>
  </si>
  <si>
    <t>SHIFT strategy</t>
  </si>
  <si>
    <t>IMPROVE strategy</t>
  </si>
  <si>
    <t>Some things to consider when assessing the impact of Avoid, Shift, Improve strategies on other objectives.</t>
  </si>
  <si>
    <t>DEFAULT VALUES</t>
  </si>
  <si>
    <t>[</t>
  </si>
  <si>
    <t>ADD YOUR OWN OBJECTIVES BELOW (up to 3 can be added)</t>
  </si>
  <si>
    <t>Make your own assessment of your added objectives</t>
  </si>
  <si>
    <t>Make your own assessment of your selected objectives</t>
  </si>
  <si>
    <t>Tick Box to Select Objective           (e.g. if relevant to your City Vision)</t>
  </si>
  <si>
    <r>
      <rPr>
        <b/>
        <sz val="9"/>
        <color theme="1"/>
        <rFont val="Calibri"/>
        <family val="2"/>
        <scheme val="minor"/>
      </rPr>
      <t>Other City Objectives</t>
    </r>
    <r>
      <rPr>
        <sz val="9"/>
        <color theme="1"/>
        <rFont val="Calibri"/>
        <family val="2"/>
        <scheme val="minor"/>
      </rPr>
      <t xml:space="preserve"> (Note that you can enter your own objectives to bottom of list in Cell B40 onwards)</t>
    </r>
  </si>
  <si>
    <t xml:space="preserve">The table below contains suggested default values for overall impact of the Avoid, Shift, Improve strategies on different pre-defined objectives. The user can choose to use these default values for any pre-defined objective by ticking the relevant checkbox in cells C10 to C17. If the user wishes to enter their own impact assessment relating to any objective then they can do so by leaving the checkbox in cells C10 to C17 unticked and making their own impact assessment in cells D32 to K43.     </t>
  </si>
  <si>
    <t xml:space="preserve">Eight pre-defined objectives are indicated in Cells D10 to D17. If the pre-defined objectives align with those in the city vision, then the user can tick the relevant checkboxes in Cells C10 to C17. Default values for impact assessment of Avoid, Shift and Improve strategies against each of these objectives are provided in the table on the right (Columns Q to Y). The user can choose to apply these defaults for any predefined objective by ticking the relevant checkbox in Cells E10 to E17.  </t>
  </si>
  <si>
    <t xml:space="preserve">If the user has additional objectives (not in the pre-defined list) then they can add these to Cells D41, D42, D43 and provide their own impact assessment related to these in Cells F41 to M43 </t>
  </si>
  <si>
    <r>
      <rPr>
        <b/>
        <sz val="9"/>
        <color theme="1"/>
        <rFont val="Calibri"/>
        <family val="2"/>
        <scheme val="minor"/>
      </rPr>
      <t>Other City Objectives</t>
    </r>
    <r>
      <rPr>
        <sz val="9"/>
        <color theme="1"/>
        <rFont val="Calibri"/>
        <family val="2"/>
        <scheme val="minor"/>
      </rPr>
      <t xml:space="preserve"> (Note that you can enter your own objectives to bottom of list in Cell D41 onwards)</t>
    </r>
  </si>
  <si>
    <t xml:space="preserve">The presence of an arrow in Column C indicates objectives where the user has indicated they wish to make their own impact assessment rather then use the default values provided.                                                         When making their assessment the user can consult the notes on "things to consider" provided in the adhjacent table to the right. </t>
  </si>
  <si>
    <t xml:space="preserve">AVOID strategy - localise daily activities (shopping, leisure, education, personal business) </t>
  </si>
  <si>
    <t>Alternative modes towards which investment should be prioritised are suggested in each distance band. These are promoting walk and cycle for distances &lt; 3km; promote cycle and public transport for distances between 3 and 8km; promote public transport and ride sharing for distances &gt; 8km.</t>
  </si>
  <si>
    <t xml:space="preserve">This file allows users to adjust the default values for a number of parameters used in the tool. This allows more locally relevant values to be defined. </t>
  </si>
  <si>
    <t>Default Value</t>
  </si>
  <si>
    <t>Units</t>
  </si>
  <si>
    <t>Comment / Source</t>
  </si>
  <si>
    <t>Local Value</t>
  </si>
  <si>
    <t>ä</t>
  </si>
  <si>
    <t>Base-case CO2 emissions from ICE cars on the road</t>
  </si>
  <si>
    <t>Commuting trip distance as % of total trip distance (within particular area type)</t>
  </si>
  <si>
    <t>Personal business trip distance as % of total trip distance (within particular area type)</t>
  </si>
  <si>
    <t>Shopping trip distance as % of total trip distance (within particular area type)</t>
  </si>
  <si>
    <t>Shopping, leisure, education, and personal business trip distance as % of total trip distance  (within particular area type)</t>
  </si>
  <si>
    <t>% of trips within 1km of home that are walked, cycled or use public transport</t>
  </si>
  <si>
    <t>&lt;3km</t>
  </si>
  <si>
    <t>3 - 8 km</t>
  </si>
  <si>
    <t>&gt; 8 km</t>
  </si>
  <si>
    <t>% of all trips by distance band (within particular area type)</t>
  </si>
  <si>
    <r>
      <t>Impact of shift in mode from car to more sustainable modes. Tests shift of 5%, 10%, 15% and 20% points. Each shift is applied to the proportion of car driver trips in each distance band (&lt;3km; 3-8km; &gt;8km). This gives as output the % car veh-km avoided and % carbon avoided relative to 2020 for a range of fuel emission factors (CO</t>
    </r>
    <r>
      <rPr>
        <b/>
        <vertAlign val="subscript"/>
        <sz val="12"/>
        <color theme="1"/>
        <rFont val="Calibri"/>
        <family val="2"/>
        <scheme val="minor"/>
      </rPr>
      <t>2</t>
    </r>
    <r>
      <rPr>
        <b/>
        <sz val="12"/>
        <color theme="1"/>
        <rFont val="Calibri"/>
        <family val="2"/>
        <scheme val="minor"/>
      </rPr>
      <t xml:space="preserve">/km).               </t>
    </r>
  </si>
  <si>
    <t xml:space="preserve">Default values are derived from Table NTS9911 - Average number of trips (trip rates) by trip length, region and Rural-Urban Classification: England, 2018/2019 (Department for Statistics, Nation Travel Survey). </t>
  </si>
  <si>
    <t xml:space="preserve">Default values derived from Nationl Travel Survey data analysis on trip distance by trip purpose for England. Table NTS9912 provides data for Rural/Urban classification variations.  </t>
  </si>
  <si>
    <t>Default value derived from NTS0308 - Average number of trips by trip length and main mode: England 2019</t>
  </si>
  <si>
    <t xml:space="preserve">The fuel efficiency of the average car on the road in 2020 in the UK was approx. 138 gCO2/km. The average age of cars on the road was 8.5 years.  The average fuel efficiency of new conventional cars in 2020 was 122gCO2/km (Department for Transport https://www.nimblefins.co.uk/average-co2-emissions-car-uk#nogo). Carbon dioxide emissions per car steadily declined every year between 2001 and 2018, decreasing by around 2.7 g/km each year. </t>
  </si>
  <si>
    <t xml:space="preserve">1. The fuel efficiency of the average car on the road in 2020 in the UK was approx. 138 gCO2/km. The average age of cars on the road was 8.5 years.  The average fuel efficiency of new conventional cars in 2020 was 122gCO2/km (Department for Transport https://www.nimblefins.co.uk/average-co2-emissions-car-uk#nogo). Carbon dioxide emissions per car steadily declined every year between 2001 and 2018, decreasing by around 2.7 g/km each year. </t>
  </si>
  <si>
    <t xml:space="preserve">Average carbon intensity of renewable electricty generation (wind, solar, hydro, nuclear)  </t>
  </si>
  <si>
    <t>Average carbon intensity of fossil fuel electricty generation (coal, lignite, oil, gas)</t>
  </si>
  <si>
    <t>Setting locally relevant parameter values</t>
  </si>
  <si>
    <t xml:space="preserve">Carbon intensity of electricity varies greatly depending on fuel source. As a rough guide coal has a carbon intensity of about 1,000g CO2/kWh, oil is 800g CO2/kWh, natural gas is around 500g CO2/kWh, while nuclear, hydro, wind and solar are all less than 50 g CO2/kWh. The carbon intensity of grid electricity is determined by the fuel mix used in generation.  e.g. More coal and less use of gas in the grid electricity mix will result in higher carbon intensity of fossil fuel generation.  https://ourworldindata.org/grapher/carbon-intensity-electricity </t>
  </si>
  <si>
    <t xml:space="preserve">If you want to use the default value, make sure the local value cell is empty (delete any values previously entered to the relevant local value cell). </t>
  </si>
  <si>
    <t>User should define a local value if they do not wish to use the default value.</t>
  </si>
  <si>
    <t>Enter the % of electricy generated from renewables (including nuclear) by year of full effect</t>
  </si>
  <si>
    <t xml:space="preserve">Enter the % point increase in working from home by year of full effect (from 2019 base case) </t>
  </si>
  <si>
    <t>Enter the % point increase in shopping delivered to the home by year of full effect(from 2019 base)</t>
  </si>
  <si>
    <t xml:space="preserve">Enter the % point increase of trips for shopping, leisure, personal business and education localised within a 15 minute walk from home by year of full effect (from 2019 base) </t>
  </si>
  <si>
    <t>Enter the % improvement in ICE fuel efficiency of conventional cars on the road by year of full effect (from 2019 base case) - [expected to be 30%]</t>
  </si>
  <si>
    <t>Enter the % improvement in electric battery efficiency by year of full effect (from 2019 base case) - [expected to be 40% by 2050]</t>
  </si>
  <si>
    <t>Electric vehicle takeup by year of full effect</t>
  </si>
  <si>
    <t>Throughout this worksheet, turquoise cells indicate where user inputs are required</t>
  </si>
  <si>
    <t>Throughout this tool, turquoise cells indicate where user inputs are required</t>
  </si>
  <si>
    <t xml:space="preserve">If the user has additional objectives (not in the pre-defined list) then they can add these to Cells D41, D42, D43 (type in the objective name) and provide an assessment of the Avoid, Shift, Improve strategies against these additional objectives in Cells F41 to M43 </t>
  </si>
  <si>
    <t xml:space="preserve">% point increase in working from home by year of full effect (from 2019 base) </t>
  </si>
  <si>
    <t>% point increase in shopping delivered to the home by year of full effect(from 2019 base)</t>
  </si>
  <si>
    <t xml:space="preserve">% point increase of trips for shopping, leisure, personal business and education localised within a 15 minute walk from home by year of full effect (from 2019 base) </t>
  </si>
  <si>
    <t>% of electricy generated from renewables (including nuclear) 2019 base</t>
  </si>
  <si>
    <t>% of electricy generated from renewables (including nuclear) by year of full effect</t>
  </si>
  <si>
    <t xml:space="preserve"> % improvement in ICE fuel efficiency of conventional cars on the road by year of full effect (from 2019 base case) - [expected to be 30%]</t>
  </si>
  <si>
    <t>% improvement in electric battery efficiency by year of full effect (from 2019 base case) - [expected to be 40% by 2050]</t>
  </si>
  <si>
    <t xml:space="preserve">If the carbon rduction impacts do not ocurr soon enough to meet the target lines, then there is the need to bring forward the policy strategy implementation. This can be done by adjusting the start or full effect timings in the cells below.  </t>
  </si>
  <si>
    <t>Decrease Noise</t>
  </si>
  <si>
    <t>% point increase in personal trips (e.g. banking, health) that are digitised or become telephone consultation by year of full effect (from 2019 base)</t>
  </si>
  <si>
    <t>Enter the % point increase in personal trips (e.g. banking, health) that are digitised or become telephone consultation by year of full effect (from 2019 base)</t>
  </si>
  <si>
    <r>
      <rPr>
        <b/>
        <sz val="11"/>
        <color theme="4" tint="-0.499984740745262"/>
        <rFont val="Calibri"/>
        <family val="2"/>
        <scheme val="minor"/>
      </rPr>
      <t>Trips &lt; 3km:</t>
    </r>
    <r>
      <rPr>
        <sz val="11"/>
        <color theme="1"/>
        <rFont val="Calibri"/>
        <family val="2"/>
        <scheme val="minor"/>
      </rPr>
      <t xml:space="preserve"> Enter the % point shift from car driver mode share to alternative modes by year of full effect (from 2019 base case)</t>
    </r>
  </si>
  <si>
    <r>
      <rPr>
        <b/>
        <sz val="11"/>
        <color theme="4" tint="-0.499984740745262"/>
        <rFont val="Calibri"/>
        <family val="2"/>
        <scheme val="minor"/>
      </rPr>
      <t>Trips 3 to 8km:</t>
    </r>
    <r>
      <rPr>
        <sz val="11"/>
        <color theme="1"/>
        <rFont val="Calibri"/>
        <family val="2"/>
        <scheme val="minor"/>
      </rPr>
      <t xml:space="preserve"> Enter the % point shift from car driver mode share to alternative modes by year of full effect (from 2019 base case)</t>
    </r>
  </si>
  <si>
    <r>
      <rPr>
        <b/>
        <sz val="11"/>
        <color theme="4" tint="-0.499984740745262"/>
        <rFont val="Calibri"/>
        <family val="2"/>
        <scheme val="minor"/>
      </rPr>
      <t>Trips &gt; 8km:</t>
    </r>
    <r>
      <rPr>
        <sz val="11"/>
        <color theme="1"/>
        <rFont val="Calibri"/>
        <family val="2"/>
        <scheme val="minor"/>
      </rPr>
      <t xml:space="preserve"> Enter the % point shift from car driver mode share to alternative modes by year of full effect (from 2019 base case)</t>
    </r>
  </si>
  <si>
    <t xml:space="preserve">Carbon reduction shortfall (-ve) or surplus (+ve) compared to 'Fit for 55' target and Green Deal target (dashed line in above chart) at each year up to 2050 (expressed as a % of 1990 carbon emissions)  </t>
  </si>
  <si>
    <t>What is the % mode share of car driver trips (all trips)</t>
  </si>
  <si>
    <t>What is the % mode share of car driver trips (commuter trips)</t>
  </si>
  <si>
    <t xml:space="preserve">Further Information </t>
  </si>
  <si>
    <t xml:space="preserve">https://vectos.co.uk/ </t>
  </si>
  <si>
    <t xml:space="preserve">https://sump-plus.eu/ </t>
  </si>
  <si>
    <t>Background to Avoid-Shift-Improve</t>
  </si>
  <si>
    <t>Introduction  - Carbon Reduction Strategy Support Tool</t>
  </si>
  <si>
    <t xml:space="preserve">Climate change and the need for dramatic carbon reduction from transport related activity is a particular aspect of city planning that has become increasingly important in policy decision making in recent years.  
The transition to achieve net-zero carbon targets by 2050 requires radical and urgent change to existing policies.
However, cities often lack the knowledge and expertise to understand how different scale and timings of policy strategies impact on carbon emissions…….especially when dealing with such long timescales up to 2050.
The Carbon Reduction Strategy Support Tool has been developed by VECTOS/SLR within the SUMP-PLUS project to fill that knowledge gap and assist cities in identifying a suitable mix of high-level policy strategies, and their timings, that will achieve carbon targets while also respecting and supporting the other objectives that cities are looking to deliver. 
The tool provides a ‘backcasting’ frame to identify strategies needed to reach the desired future, rather than ‘forecasting’ from the current situation. 
The tool is useful for cities as a stakeholder and political engagement tool to help inform workshop discussions and decision making when developing their long-term policy strategies and defining transition pathways to net-zero carbon.  
</t>
  </si>
  <si>
    <t xml:space="preserve">Policy strategy assessment to establish strategy mix that achieves carbon targets </t>
  </si>
  <si>
    <t>2050 STRATEGY MIX impacts</t>
  </si>
  <si>
    <t>To enable cities to assess the carbon reduction impact of different strategy mix choices, a support tool has been developed that allows the user to vary the scale of input/uptake of a particular strategy in order to better understand the impact this has on overall carbon emissions, how it contributes to carbon reduction targets, and its relative significance in comparison to other strategy choices.</t>
  </si>
  <si>
    <t xml:space="preserve">The tool helps users gauge the potential contribution to carbon reduction from different strategies related to avoid, shift and improve policies. This enables more informed choices on the mix of policy strategies, also taking account of effects from the timings of these, that will deliver the carbon reductions required to meet the targets at key points in time up to 2050.      </t>
  </si>
  <si>
    <t xml:space="preserve">For each strategy, the user can select from a range of uptake scenarios (%-point increases) or improvement scenarios (% change) that they wish to explore. </t>
  </si>
  <si>
    <t xml:space="preserve">Please provide the year by which the strategy will start to take effect and the year by which it will provide its full effect. The growth in take-up is assumed to be linear between the start and full effect years. This information is used to estimate the carbon emissions reduction in each year between 2021 and 2050.  </t>
  </si>
  <si>
    <t xml:space="preserve">Date by which strategy will start to take effect </t>
  </si>
  <si>
    <t xml:space="preserve">Date by which  strategy will take full effect </t>
  </si>
  <si>
    <t xml:space="preserve">Stress Testing Strategy Mix  </t>
  </si>
  <si>
    <t xml:space="preserve">To ensure the strategy mix selections are robust/resilient, the user can stress test the choices against alternative futures related to key exogenous factors and trends. If the stress testing reveals the policy mix to be weak in the face of plausible alternative futures then, if possible,  the strategy mix inputs should be adjusted to strengthen resilience to change, or the strategy mix should be eliminated.  </t>
  </si>
  <si>
    <t xml:space="preserve">This worksheet allows the user to ‘stress test’ the effects of moderate to extreme changes in 6 external factors on the carbon impacts of the strategy mix. A slider bar is provided for each factor allowing the impact from changes in the levels of each factor to be explored. </t>
  </si>
  <si>
    <t xml:space="preserve">Worksheet 3: Adjust Strategy Timings </t>
  </si>
  <si>
    <t xml:space="preserve">This worksheet allows the user to visualise the effects of their strategy choices (levels of uptake/improvement and timings of implementation) on carbon reduction over time between 2020 and 2050.  The two diagrams output in this worksheet, viewed together, can be helpful in ascertaining the optimal timings of strategy delivery to check that intermediate targets and milestones are being met and that cumulative emissions are within the prescribed targets needed to limit temperature rises to 1.5 degrees C. The information in these charts can highlight the need to bring forward the commencement of a particular strategy, or the need for it to take full effect sooner. This information helps establish the timings for policy delivery needed to meet the expected targets  up to and including 2050. 
</t>
  </si>
  <si>
    <t xml:space="preserve">The dashed line in the chart below shows the necessary reduction in carbon for each year to remain on target to achieve the ‘Fit for 55’ target by 2030 and Green Deal target of 90% reduction in GHG emissions by 2050 compared to 1990 levels. If the dashed line is not reached by the strategy selections, then the user is offered the possibility to adjust the implementation timings for the various strategies. This allows the user to understand not only the level of uptake/improvement for the strategy, but also the timings for when the strategy should commence and when it is required to take full effect.    </t>
  </si>
  <si>
    <t xml:space="preserve">Date by which strategy will take full effect </t>
  </si>
  <si>
    <t xml:space="preserve">Adjusted date by which strategy will start to take effect </t>
  </si>
  <si>
    <t xml:space="preserve">Adjusted date by which strategy will take full effect </t>
  </si>
  <si>
    <t xml:space="preserve">The blue line on the chart below represents the cumulative emissions estimated for the selected strategy mix inputs. The red dashed line reflects the do-nothing scenario and shows cumulative emissions if no improvements were made compared to 2020 rates of emissions (i.e., emissions remain at 2020 levels until 2050 and are only affected by changes in population). The green dashed line reflects the cumulative emissions limit if global temperatures are to remain within a 1.5 degrees C temperature rise (i.e., achieving the ‘Fit for 55’ target by 2030 and Green Deal target of 90% reduction in GHG emissions by 2050 compared to 1990 levels). In this chart the cumulative emissions are indexed to the 2020 values of emissions as a % of 1990 levels. </t>
  </si>
  <si>
    <t xml:space="preserve">Assess impact of strategy selections on other city mobility objectives </t>
  </si>
  <si>
    <t xml:space="preserve">This worksheet allows the user to consider the impact of carbon focussed avoid, shift and improve strategies on the range of other mobility objectives that may be included in a cities vision.  A simple assessment framework is provided allowing the user to select between positive (+1), neutral (0) or negative (-1) impact ratings. The intention is to flag where particular strategies are likely to have an overall negative impact on any other objective. Where this is the case, then cities need to consider how the negative impacts can be mitigated or avoided through regulatory or fiscal interventions (e.g. protections or subsidies for particular groups that are adversely affected). If this mitigation is not possible, then the strategy mix selected should be reviewed and where possible adjusted to remove or at least reduce the scale of choices that are likely to cause intractible negative impacts on another objective.           </t>
  </si>
  <si>
    <t>Strategy</t>
  </si>
  <si>
    <r>
      <t xml:space="preserve">Developed by:  Steve Wright - Principal Researcher at VECTOS / SLR    steve.wright@vectos.eu         
Acknowledgement: This Tool was developed within the H2020 CIVITAS SUMP-PLUS Project 
</t>
    </r>
    <r>
      <rPr>
        <b/>
        <sz val="10"/>
        <rFont val="Calibri"/>
        <family val="2"/>
        <scheme val="minor"/>
      </rPr>
      <t xml:space="preserve">
</t>
    </r>
    <r>
      <rPr>
        <sz val="10"/>
        <rFont val="Calibri"/>
        <family val="2"/>
        <scheme val="minor"/>
      </rPr>
      <t>Access:  Free to use</t>
    </r>
    <r>
      <rPr>
        <b/>
        <sz val="10"/>
        <rFont val="Calibri"/>
        <family val="2"/>
        <scheme val="minor"/>
      </rPr>
      <t xml:space="preserve"> </t>
    </r>
    <r>
      <rPr>
        <sz val="10"/>
        <rFont val="Calibri"/>
        <family val="2"/>
        <scheme val="minor"/>
      </rPr>
      <t xml:space="preserve">(please acknowledge the tool developer as VECTOS/SLR).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</si>
</sst>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gt;0.5]#,##0;[&lt;-0.5]&quot;-&quot;#,##0;&quot;-&quot;"/>
    <numFmt numFmtId="166" formatCode="[=0]0;[&lt;0.5]&quot;-&quot;;#,##0"/>
    <numFmt numFmtId="167" formatCode="0.0"/>
    <numFmt numFmtId="168" formatCode="0.000"/>
    <numFmt numFmtId="169" formatCode="0.0000"/>
  </numFmts>
  <fonts count="7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2"/>
      <color theme="1"/>
      <name val="Calibri"/>
      <family val="2"/>
      <scheme val="minor"/>
    </font>
    <font>
      <sz val="10"/>
      <color rgb="FF000000"/>
      <name val="Arial"/>
      <family val="2"/>
    </font>
    <font>
      <b/>
      <sz val="11"/>
      <color rgb="FF000000"/>
      <name val="Arial"/>
      <family val="2"/>
    </font>
    <font>
      <sz val="11"/>
      <color rgb="FF000000"/>
      <name val="Arial"/>
      <family val="2"/>
    </font>
    <font>
      <b/>
      <u/>
      <sz val="11"/>
      <color rgb="FF008080"/>
      <name val="Arial"/>
      <family val="2"/>
    </font>
    <font>
      <b/>
      <sz val="11"/>
      <color rgb="FF008080"/>
      <name val="Arial"/>
      <family val="2"/>
    </font>
    <font>
      <b/>
      <vertAlign val="superscript"/>
      <sz val="11"/>
      <color rgb="FF008080"/>
      <name val="Arial"/>
      <family val="2"/>
    </font>
    <font>
      <sz val="11"/>
      <color rgb="FFFF0000"/>
      <name val="Arial"/>
      <family val="2"/>
    </font>
    <font>
      <sz val="10"/>
      <color rgb="FF000000"/>
      <name val="Times New Roman"/>
      <family val="1"/>
    </font>
    <font>
      <sz val="11"/>
      <color rgb="FFFF00FF"/>
      <name val="Arial"/>
      <family val="2"/>
    </font>
    <font>
      <b/>
      <vertAlign val="superscript"/>
      <sz val="11"/>
      <color rgb="FF000000"/>
      <name val="Arial"/>
      <family val="2"/>
    </font>
    <font>
      <i/>
      <sz val="11"/>
      <color rgb="FF000000"/>
      <name val="Arial"/>
      <family val="2"/>
    </font>
    <font>
      <u/>
      <sz val="10"/>
      <color rgb="FF0000FF"/>
      <name val="Arial"/>
      <family val="2"/>
    </font>
    <font>
      <u/>
      <sz val="11"/>
      <color rgb="FF008080"/>
      <name val="Arial"/>
      <family val="2"/>
    </font>
    <font>
      <u/>
      <sz val="11"/>
      <color rgb="FF0000FF"/>
      <name val="Arial"/>
      <family val="2"/>
    </font>
    <font>
      <sz val="7"/>
      <color theme="1"/>
      <name val="Calibri"/>
      <family val="2"/>
      <scheme val="minor"/>
    </font>
    <font>
      <b/>
      <sz val="20"/>
      <color theme="1"/>
      <name val="Calibri"/>
      <family val="2"/>
      <scheme val="minor"/>
    </font>
    <font>
      <vertAlign val="superscript"/>
      <sz val="11"/>
      <color theme="1"/>
      <name val="Calibri"/>
      <family val="2"/>
      <scheme val="minor"/>
    </font>
    <font>
      <vertAlign val="superscript"/>
      <sz val="10"/>
      <color theme="1"/>
      <name val="Calibri"/>
      <family val="2"/>
      <scheme val="minor"/>
    </font>
    <font>
      <b/>
      <sz val="10"/>
      <color theme="1"/>
      <name val="Calibri"/>
      <family val="2"/>
      <scheme val="minor"/>
    </font>
    <font>
      <sz val="8"/>
      <color rgb="FF000000"/>
      <name val="Calibri"/>
      <family val="2"/>
    </font>
    <font>
      <b/>
      <sz val="14"/>
      <color theme="1"/>
      <name val="Calibri"/>
      <family val="2"/>
      <scheme val="minor"/>
    </font>
    <font>
      <sz val="12"/>
      <color theme="1"/>
      <name val="Calibri"/>
      <family val="2"/>
      <scheme val="minor"/>
    </font>
    <font>
      <b/>
      <vertAlign val="subscript"/>
      <sz val="12"/>
      <color theme="1"/>
      <name val="Calibri"/>
      <family val="2"/>
      <scheme val="minor"/>
    </font>
    <font>
      <i/>
      <sz val="11"/>
      <color theme="1"/>
      <name val="Calibri"/>
      <family val="2"/>
      <scheme val="minor"/>
    </font>
    <font>
      <sz val="18"/>
      <color theme="1"/>
      <name val="Wingdings 3"/>
      <family val="1"/>
      <charset val="2"/>
    </font>
    <font>
      <sz val="11"/>
      <name val="Calibri"/>
      <family val="2"/>
      <scheme val="minor"/>
    </font>
    <font>
      <sz val="14"/>
      <color theme="1"/>
      <name val="Calibri"/>
      <family val="2"/>
      <scheme val="minor"/>
    </font>
    <font>
      <b/>
      <sz val="16"/>
      <color theme="1"/>
      <name val="Calibri"/>
      <family val="2"/>
      <scheme val="minor"/>
    </font>
    <font>
      <b/>
      <sz val="11"/>
      <color theme="4" tint="-0.249977111117893"/>
      <name val="Calibri"/>
      <family val="2"/>
      <scheme val="minor"/>
    </font>
    <font>
      <b/>
      <sz val="9"/>
      <color theme="1"/>
      <name val="Calibri"/>
      <family val="2"/>
      <scheme val="minor"/>
    </font>
    <font>
      <b/>
      <sz val="9"/>
      <color theme="7" tint="-0.249977111117893"/>
      <name val="Calibri"/>
      <family val="2"/>
      <scheme val="minor"/>
    </font>
    <font>
      <sz val="16"/>
      <color rgb="FF000000"/>
      <name val="ArialMT"/>
    </font>
    <font>
      <sz val="11"/>
      <color rgb="FF000000"/>
      <name val="ArialMT"/>
    </font>
    <font>
      <sz val="9"/>
      <color indexed="81"/>
      <name val="Tahoma"/>
      <family val="2"/>
    </font>
    <font>
      <b/>
      <sz val="9"/>
      <color indexed="81"/>
      <name val="Tahoma"/>
      <family val="2"/>
    </font>
    <font>
      <sz val="9"/>
      <color indexed="81"/>
      <name val="Tahoma"/>
    </font>
    <font>
      <b/>
      <sz val="9"/>
      <color indexed="81"/>
      <name val="Tahoma"/>
    </font>
    <font>
      <i/>
      <sz val="12"/>
      <color theme="1"/>
      <name val="Calibri"/>
      <family val="2"/>
      <scheme val="minor"/>
    </font>
    <font>
      <b/>
      <sz val="24"/>
      <color theme="1"/>
      <name val="Calibri"/>
      <family val="2"/>
      <scheme val="minor"/>
    </font>
    <font>
      <sz val="11"/>
      <color theme="1"/>
      <name val="Wingdings 3"/>
      <family val="1"/>
      <charset val="2"/>
    </font>
    <font>
      <sz val="20"/>
      <color theme="1"/>
      <name val="Wingdings 3"/>
      <family val="1"/>
      <charset val="2"/>
    </font>
    <font>
      <sz val="22"/>
      <color theme="1"/>
      <name val="Wingdings 3"/>
      <family val="1"/>
      <charset val="2"/>
    </font>
    <font>
      <sz val="26"/>
      <color theme="1"/>
      <name val="Calibri"/>
      <family val="2"/>
      <scheme val="minor"/>
    </font>
    <font>
      <sz val="24"/>
      <color rgb="FFFF0000"/>
      <name val="Wingdings 3"/>
      <family val="1"/>
      <charset val="2"/>
    </font>
    <font>
      <sz val="14"/>
      <color rgb="FFFF0000"/>
      <name val="Calibri"/>
      <family val="2"/>
      <scheme val="minor"/>
    </font>
    <font>
      <sz val="18"/>
      <color rgb="FFFF0000"/>
      <name val="Arial Rounded MT Bold"/>
      <family val="2"/>
    </font>
    <font>
      <i/>
      <sz val="11"/>
      <color rgb="FF0070C0"/>
      <name val="Calibri"/>
      <family val="2"/>
      <scheme val="minor"/>
    </font>
    <font>
      <i/>
      <sz val="12"/>
      <color rgb="FF0070C0"/>
      <name val="Calibri"/>
      <family val="2"/>
      <scheme val="minor"/>
    </font>
    <font>
      <b/>
      <u/>
      <sz val="12"/>
      <color theme="1"/>
      <name val="Calibri"/>
      <family val="2"/>
      <scheme val="minor"/>
    </font>
    <font>
      <b/>
      <u/>
      <sz val="14"/>
      <color theme="1"/>
      <name val="Calibri"/>
      <family val="2"/>
      <scheme val="minor"/>
    </font>
    <font>
      <sz val="10"/>
      <color theme="1"/>
      <name val="Wingdings 3"/>
      <family val="1"/>
      <charset val="2"/>
    </font>
    <font>
      <i/>
      <sz val="11"/>
      <color theme="4"/>
      <name val="Calibri"/>
      <family val="2"/>
      <scheme val="minor"/>
    </font>
    <font>
      <i/>
      <sz val="10"/>
      <color theme="4"/>
      <name val="Calibri"/>
      <family val="2"/>
      <scheme val="minor"/>
    </font>
    <font>
      <i/>
      <sz val="9"/>
      <color theme="1"/>
      <name val="Calibri"/>
      <family val="2"/>
      <scheme val="minor"/>
    </font>
    <font>
      <b/>
      <u/>
      <sz val="16"/>
      <color theme="1"/>
      <name val="Calibri"/>
      <family val="2"/>
      <scheme val="minor"/>
    </font>
    <font>
      <b/>
      <sz val="11"/>
      <color theme="4" tint="-0.499984740745262"/>
      <name val="Calibri"/>
      <family val="2"/>
      <scheme val="minor"/>
    </font>
    <font>
      <sz val="11"/>
      <color rgb="FF004494"/>
      <name val="Calibri"/>
      <family val="2"/>
      <scheme val="minor"/>
    </font>
    <font>
      <sz val="10"/>
      <color rgb="FF004494"/>
      <name val="Calibri"/>
      <family val="2"/>
      <scheme val="minor"/>
    </font>
    <font>
      <b/>
      <sz val="10"/>
      <name val="Calibri"/>
      <family val="2"/>
      <scheme val="minor"/>
    </font>
    <font>
      <u/>
      <sz val="10"/>
      <color theme="10"/>
      <name val="Calibri"/>
      <family val="2"/>
      <scheme val="minor"/>
    </font>
    <font>
      <sz val="10"/>
      <name val="Calibri"/>
      <family val="2"/>
      <scheme val="minor"/>
    </font>
  </fonts>
  <fills count="35">
    <fill>
      <patternFill patternType="none"/>
    </fill>
    <fill>
      <patternFill patternType="gray125"/>
    </fill>
    <fill>
      <patternFill patternType="solid">
        <fgColor theme="5" tint="0.59999389629810485"/>
        <bgColor indexed="64"/>
      </patternFill>
    </fill>
    <fill>
      <patternFill patternType="solid">
        <fgColor rgb="FFFFFFFF"/>
        <bgColor rgb="FFFFFFFF"/>
      </patternFill>
    </fill>
    <fill>
      <patternFill patternType="solid">
        <fgColor theme="4" tint="0.79998168889431442"/>
        <bgColor rgb="FFFFFFFF"/>
      </patternFill>
    </fill>
    <fill>
      <patternFill patternType="solid">
        <fgColor theme="7" tint="0.39997558519241921"/>
        <bgColor indexed="64"/>
      </patternFill>
    </fill>
    <fill>
      <patternFill patternType="solid">
        <fgColor theme="6" tint="0.79998168889431442"/>
        <bgColor indexed="64"/>
      </patternFill>
    </fill>
    <fill>
      <patternFill patternType="solid">
        <fgColor rgb="FFE9EBF5"/>
        <bgColor indexed="64"/>
      </patternFil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bgColor indexed="64"/>
      </patternFill>
    </fill>
    <fill>
      <patternFill patternType="solid">
        <fgColor rgb="FF92D050"/>
        <bgColor indexed="64"/>
      </patternFill>
    </fill>
    <fill>
      <patternFill patternType="solid">
        <fgColor theme="8" tint="0.79998168889431442"/>
        <bgColor indexed="64"/>
      </patternFill>
    </fill>
    <fill>
      <patternFill patternType="solid">
        <fgColor theme="4"/>
        <bgColor indexed="64"/>
      </patternFill>
    </fill>
    <fill>
      <patternFill patternType="solid">
        <fgColor theme="2" tint="-9.9978637043366805E-2"/>
        <bgColor indexed="64"/>
      </patternFill>
    </fill>
    <fill>
      <patternFill patternType="solid">
        <fgColor rgb="FFFFCCFF"/>
        <bgColor indexed="64"/>
      </patternFill>
    </fill>
    <fill>
      <patternFill patternType="solid">
        <fgColor theme="8" tint="0.59999389629810485"/>
        <bgColor indexed="64"/>
      </patternFill>
    </fill>
    <fill>
      <patternFill patternType="solid">
        <fgColor rgb="FFFF66FF"/>
        <bgColor indexed="64"/>
      </patternFill>
    </fill>
    <fill>
      <patternFill patternType="solid">
        <fgColor rgb="FF00B0F0"/>
        <bgColor indexed="64"/>
      </patternFill>
    </fill>
    <fill>
      <patternFill patternType="solid">
        <fgColor rgb="FF33CCFF"/>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99FF"/>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00FFFF"/>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2" tint="-0.49998474074526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medium">
        <color rgb="FF000000"/>
      </bottom>
      <diagonal/>
    </border>
    <border>
      <left/>
      <right/>
      <top style="medium">
        <color rgb="FF000000"/>
      </top>
      <bottom style="thin">
        <color rgb="FF000000"/>
      </bottom>
      <diagonal/>
    </border>
    <border>
      <left/>
      <right/>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rgb="FFFFFFFF"/>
      </right>
      <top style="medium">
        <color rgb="FFFFFFFF"/>
      </top>
      <bottom style="medium">
        <color indexed="64"/>
      </bottom>
      <diagonal/>
    </border>
    <border>
      <left style="medium">
        <color rgb="FFFFFFFF"/>
      </left>
      <right style="medium">
        <color rgb="FFFFFFFF"/>
      </right>
      <top style="medium">
        <color rgb="FFFFFFFF"/>
      </top>
      <bottom style="medium">
        <color indexed="64"/>
      </bottom>
      <diagonal/>
    </border>
    <border>
      <left style="medium">
        <color rgb="FFFFFFFF"/>
      </left>
      <right style="medium">
        <color indexed="64"/>
      </right>
      <top style="medium">
        <color rgb="FFFFFFFF"/>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9">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9" fillId="0" borderId="0"/>
    <xf numFmtId="165" fontId="16" fillId="0" borderId="0" applyBorder="0" applyProtection="0"/>
    <xf numFmtId="165" fontId="16" fillId="0" borderId="0" applyBorder="0" applyProtection="0"/>
    <xf numFmtId="0" fontId="9" fillId="0" borderId="0" applyNumberFormat="0" applyFont="0" applyBorder="0" applyProtection="0"/>
    <xf numFmtId="0" fontId="20" fillId="0" borderId="0" applyNumberFormat="0" applyFill="0" applyBorder="0" applyAlignment="0" applyProtection="0"/>
    <xf numFmtId="165" fontId="16" fillId="0" borderId="0" applyBorder="0" applyProtection="0"/>
  </cellStyleXfs>
  <cellXfs count="820">
    <xf numFmtId="0" fontId="0" fillId="0" borderId="0" xfId="0"/>
    <xf numFmtId="0" fontId="0" fillId="0" borderId="0" xfId="0" applyAlignment="1">
      <alignment wrapText="1"/>
    </xf>
    <xf numFmtId="0" fontId="0" fillId="0" borderId="0" xfId="0" applyAlignment="1">
      <alignment horizontal="center"/>
    </xf>
    <xf numFmtId="9" fontId="0" fillId="0" borderId="0" xfId="0" applyNumberFormat="1"/>
    <xf numFmtId="9" fontId="0" fillId="0" borderId="0" xfId="0" applyNumberFormat="1" applyAlignment="1">
      <alignment wrapText="1"/>
    </xf>
    <xf numFmtId="10" fontId="0" fillId="0" borderId="0" xfId="0" applyNumberFormat="1"/>
    <xf numFmtId="0" fontId="5" fillId="0" borderId="0" xfId="0" applyFont="1" applyAlignment="1">
      <alignment wrapText="1"/>
    </xf>
    <xf numFmtId="9" fontId="5" fillId="0" borderId="0" xfId="0" applyNumberFormat="1" applyFont="1"/>
    <xf numFmtId="10" fontId="5" fillId="0" borderId="0" xfId="0" applyNumberFormat="1" applyFont="1"/>
    <xf numFmtId="0" fontId="5" fillId="0" borderId="0" xfId="0" applyFont="1" applyAlignment="1">
      <alignment horizontal="center" wrapText="1"/>
    </xf>
    <xf numFmtId="164" fontId="5" fillId="0" borderId="0" xfId="0" applyNumberFormat="1" applyFont="1"/>
    <xf numFmtId="0" fontId="2" fillId="0" borderId="0" xfId="0" applyFont="1"/>
    <xf numFmtId="0" fontId="0" fillId="0" borderId="0" xfId="0" applyAlignment="1">
      <alignment vertical="center" wrapText="1"/>
    </xf>
    <xf numFmtId="0" fontId="0" fillId="0" borderId="0" xfId="0" applyAlignment="1">
      <alignment vertical="top"/>
    </xf>
    <xf numFmtId="0" fontId="10" fillId="3" borderId="0" xfId="3" applyFont="1" applyFill="1"/>
    <xf numFmtId="0" fontId="11" fillId="3" borderId="0" xfId="3" applyFont="1" applyFill="1"/>
    <xf numFmtId="0" fontId="12" fillId="3" borderId="0" xfId="3" applyFont="1" applyFill="1" applyAlignment="1">
      <alignment horizontal="left"/>
    </xf>
    <xf numFmtId="0" fontId="13" fillId="3" borderId="0" xfId="3" applyFont="1" applyFill="1"/>
    <xf numFmtId="0" fontId="11" fillId="3" borderId="12" xfId="3" applyFont="1" applyFill="1" applyBorder="1"/>
    <xf numFmtId="0" fontId="15" fillId="3" borderId="12" xfId="3" applyFont="1" applyFill="1" applyBorder="1" applyAlignment="1">
      <alignment horizontal="right"/>
    </xf>
    <xf numFmtId="165" fontId="10" fillId="3" borderId="0" xfId="4" applyFont="1" applyFill="1" applyAlignment="1">
      <alignment horizontal="right" wrapText="1"/>
    </xf>
    <xf numFmtId="0" fontId="10" fillId="3" borderId="14" xfId="3" applyFont="1" applyFill="1" applyBorder="1"/>
    <xf numFmtId="0" fontId="10" fillId="3" borderId="14" xfId="3" applyFont="1" applyFill="1" applyBorder="1" applyAlignment="1">
      <alignment horizontal="right" wrapText="1"/>
    </xf>
    <xf numFmtId="165" fontId="10" fillId="3" borderId="14" xfId="4" applyFont="1" applyFill="1" applyBorder="1" applyAlignment="1">
      <alignment horizontal="right" wrapText="1"/>
    </xf>
    <xf numFmtId="165" fontId="10" fillId="3" borderId="0" xfId="4" applyFont="1" applyFill="1" applyAlignment="1">
      <alignment horizontal="left"/>
    </xf>
    <xf numFmtId="165" fontId="17" fillId="3" borderId="0" xfId="3" applyNumberFormat="1" applyFont="1" applyFill="1"/>
    <xf numFmtId="3" fontId="17" fillId="3" borderId="0" xfId="3" applyNumberFormat="1" applyFont="1" applyFill="1"/>
    <xf numFmtId="166" fontId="11" fillId="3" borderId="0" xfId="3" applyNumberFormat="1" applyFont="1" applyFill="1"/>
    <xf numFmtId="166" fontId="11" fillId="3" borderId="14" xfId="3" applyNumberFormat="1" applyFont="1" applyFill="1" applyBorder="1"/>
    <xf numFmtId="165" fontId="10" fillId="3" borderId="0" xfId="5" applyFont="1" applyFill="1"/>
    <xf numFmtId="165" fontId="10" fillId="3" borderId="12" xfId="5" applyFont="1" applyFill="1" applyBorder="1"/>
    <xf numFmtId="166" fontId="11" fillId="3" borderId="12" xfId="3" applyNumberFormat="1" applyFont="1" applyFill="1" applyBorder="1"/>
    <xf numFmtId="1" fontId="19" fillId="3" borderId="0" xfId="3" applyNumberFormat="1" applyFont="1" applyFill="1"/>
    <xf numFmtId="0" fontId="19" fillId="3" borderId="0" xfId="3" applyFont="1" applyFill="1"/>
    <xf numFmtId="0" fontId="11" fillId="3" borderId="0" xfId="6" applyFont="1" applyFill="1"/>
    <xf numFmtId="0" fontId="21" fillId="3" borderId="0" xfId="7" applyFont="1" applyFill="1" applyAlignment="1">
      <alignment vertical="center"/>
    </xf>
    <xf numFmtId="0" fontId="11" fillId="3" borderId="0" xfId="3" applyFont="1" applyFill="1" applyAlignment="1">
      <alignment wrapText="1"/>
    </xf>
    <xf numFmtId="0" fontId="11" fillId="3" borderId="0" xfId="8" applyNumberFormat="1" applyFont="1" applyFill="1" applyAlignment="1">
      <alignment wrapText="1"/>
    </xf>
    <xf numFmtId="165" fontId="11" fillId="3" borderId="0" xfId="8" applyFont="1" applyFill="1"/>
    <xf numFmtId="165" fontId="11" fillId="3" borderId="0" xfId="8" applyFont="1" applyFill="1" applyAlignment="1">
      <alignment horizontal="right"/>
    </xf>
    <xf numFmtId="0" fontId="11" fillId="0" borderId="0" xfId="3" applyFont="1"/>
    <xf numFmtId="0" fontId="22" fillId="3" borderId="0" xfId="7" applyFont="1" applyFill="1"/>
    <xf numFmtId="0" fontId="11" fillId="3" borderId="0" xfId="3" applyFont="1" applyFill="1" applyAlignment="1">
      <alignment horizontal="right"/>
    </xf>
    <xf numFmtId="0" fontId="21" fillId="3" borderId="0" xfId="3" applyFont="1" applyFill="1" applyAlignment="1">
      <alignment horizontal="left"/>
    </xf>
    <xf numFmtId="1" fontId="11" fillId="3" borderId="0" xfId="3" applyNumberFormat="1" applyFont="1" applyFill="1"/>
    <xf numFmtId="0" fontId="11" fillId="0" borderId="0" xfId="3" applyFont="1" applyAlignment="1">
      <alignment horizontal="right"/>
    </xf>
    <xf numFmtId="0" fontId="12" fillId="3" borderId="0" xfId="7" applyFont="1" applyFill="1" applyAlignment="1">
      <alignment horizontal="left"/>
    </xf>
    <xf numFmtId="0" fontId="10" fillId="3" borderId="0" xfId="3" applyFont="1" applyFill="1" applyAlignment="1">
      <alignment horizontal="right" wrapText="1"/>
    </xf>
    <xf numFmtId="2" fontId="11" fillId="3" borderId="0" xfId="3" applyNumberFormat="1" applyFont="1" applyFill="1"/>
    <xf numFmtId="0" fontId="3" fillId="0" borderId="0" xfId="0" applyFont="1" applyAlignment="1">
      <alignment horizontal="center"/>
    </xf>
    <xf numFmtId="165" fontId="10" fillId="3" borderId="0" xfId="5" applyFont="1" applyFill="1" applyBorder="1"/>
    <xf numFmtId="165" fontId="10" fillId="3" borderId="0" xfId="4" applyFont="1" applyFill="1" applyBorder="1" applyAlignment="1">
      <alignment horizontal="right" wrapText="1"/>
    </xf>
    <xf numFmtId="0" fontId="10" fillId="4" borderId="14" xfId="3" applyFont="1" applyFill="1" applyBorder="1" applyAlignment="1">
      <alignment horizontal="right" wrapText="1"/>
    </xf>
    <xf numFmtId="0" fontId="10" fillId="4" borderId="0" xfId="3" applyFont="1" applyFill="1" applyAlignment="1">
      <alignment horizontal="right" wrapText="1"/>
    </xf>
    <xf numFmtId="165" fontId="17" fillId="4" borderId="0" xfId="3" applyNumberFormat="1" applyFont="1" applyFill="1"/>
    <xf numFmtId="166" fontId="11" fillId="4" borderId="0" xfId="3" applyNumberFormat="1" applyFont="1" applyFill="1"/>
    <xf numFmtId="166" fontId="11" fillId="4" borderId="14" xfId="3" applyNumberFormat="1" applyFont="1" applyFill="1" applyBorder="1"/>
    <xf numFmtId="166" fontId="11" fillId="4" borderId="12" xfId="3" applyNumberFormat="1" applyFont="1" applyFill="1" applyBorder="1"/>
    <xf numFmtId="0" fontId="10" fillId="3" borderId="0" xfId="3" applyFont="1" applyFill="1" applyAlignment="1">
      <alignment horizontal="center" wrapText="1"/>
    </xf>
    <xf numFmtId="0" fontId="10" fillId="3" borderId="0" xfId="3" applyFont="1" applyFill="1" applyAlignment="1">
      <alignment wrapText="1"/>
    </xf>
    <xf numFmtId="167" fontId="11" fillId="3" borderId="0" xfId="3" applyNumberFormat="1" applyFont="1" applyFill="1"/>
    <xf numFmtId="0" fontId="3" fillId="0" borderId="0" xfId="0" applyFont="1" applyAlignment="1">
      <alignment horizontal="center" wrapText="1"/>
    </xf>
    <xf numFmtId="2" fontId="5" fillId="0" borderId="0" xfId="0" applyNumberFormat="1" applyFont="1"/>
    <xf numFmtId="9" fontId="0" fillId="0" borderId="0" xfId="0" applyNumberFormat="1" applyAlignment="1">
      <alignment horizontal="left" wrapText="1"/>
    </xf>
    <xf numFmtId="164" fontId="0" fillId="0" borderId="0" xfId="0" applyNumberFormat="1"/>
    <xf numFmtId="164" fontId="0" fillId="0" borderId="0" xfId="1" applyNumberFormat="1" applyFont="1"/>
    <xf numFmtId="0" fontId="6" fillId="0" borderId="0" xfId="0" applyFont="1" applyAlignment="1">
      <alignment wrapText="1"/>
    </xf>
    <xf numFmtId="2" fontId="5" fillId="0" borderId="0" xfId="0" applyNumberFormat="1" applyFont="1" applyAlignment="1">
      <alignment wrapText="1"/>
    </xf>
    <xf numFmtId="0" fontId="0" fillId="0" borderId="0" xfId="0" applyAlignment="1">
      <alignment horizontal="left" vertical="top" wrapText="1"/>
    </xf>
    <xf numFmtId="0" fontId="0" fillId="0" borderId="0" xfId="0" applyAlignment="1">
      <alignment vertical="top" wrapText="1"/>
    </xf>
    <xf numFmtId="0" fontId="24" fillId="0" borderId="0" xfId="0" applyFont="1" applyAlignment="1">
      <alignment vertical="top" wrapText="1"/>
    </xf>
    <xf numFmtId="0" fontId="4" fillId="0" borderId="0" xfId="2"/>
    <xf numFmtId="2" fontId="0" fillId="0" borderId="0" xfId="0" applyNumberFormat="1"/>
    <xf numFmtId="2" fontId="0" fillId="0" borderId="0" xfId="0" applyNumberFormat="1" applyAlignment="1">
      <alignment horizontal="left"/>
    </xf>
    <xf numFmtId="1" fontId="0" fillId="0" borderId="0" xfId="0" applyNumberFormat="1" applyAlignment="1">
      <alignment horizontal="left"/>
    </xf>
    <xf numFmtId="1" fontId="0" fillId="0" borderId="15" xfId="0" applyNumberFormat="1" applyBorder="1"/>
    <xf numFmtId="1" fontId="0" fillId="0" borderId="2" xfId="0" applyNumberFormat="1" applyBorder="1"/>
    <xf numFmtId="1" fontId="0" fillId="0" borderId="16" xfId="0" applyNumberFormat="1" applyBorder="1"/>
    <xf numFmtId="1" fontId="0" fillId="0" borderId="17" xfId="0" applyNumberFormat="1" applyBorder="1"/>
    <xf numFmtId="1" fontId="0" fillId="0" borderId="0" xfId="0" applyNumberFormat="1"/>
    <xf numFmtId="1" fontId="0" fillId="0" borderId="18" xfId="0" applyNumberFormat="1" applyBorder="1"/>
    <xf numFmtId="1" fontId="0" fillId="0" borderId="19" xfId="0" applyNumberFormat="1" applyBorder="1"/>
    <xf numFmtId="1" fontId="0" fillId="0" borderId="20" xfId="0" applyNumberFormat="1" applyBorder="1"/>
    <xf numFmtId="1" fontId="0" fillId="0" borderId="21" xfId="0" applyNumberFormat="1" applyBorder="1"/>
    <xf numFmtId="9" fontId="0" fillId="0" borderId="17" xfId="0" applyNumberFormat="1" applyBorder="1" applyAlignment="1">
      <alignment wrapText="1"/>
    </xf>
    <xf numFmtId="9" fontId="0" fillId="0" borderId="18" xfId="0" applyNumberFormat="1" applyBorder="1"/>
    <xf numFmtId="0" fontId="0" fillId="0" borderId="19" xfId="0" applyBorder="1"/>
    <xf numFmtId="0" fontId="0" fillId="0" borderId="20" xfId="0" applyBorder="1"/>
    <xf numFmtId="0" fontId="0" fillId="0" borderId="21" xfId="0" applyBorder="1"/>
    <xf numFmtId="0" fontId="0" fillId="0" borderId="17" xfId="0" applyBorder="1"/>
    <xf numFmtId="9" fontId="0" fillId="0" borderId="15" xfId="1" applyFont="1" applyBorder="1"/>
    <xf numFmtId="9" fontId="0" fillId="0" borderId="2" xfId="1" applyFont="1" applyBorder="1"/>
    <xf numFmtId="9" fontId="0" fillId="0" borderId="16" xfId="1" applyFont="1" applyBorder="1"/>
    <xf numFmtId="9" fontId="0" fillId="0" borderId="17" xfId="1" applyFont="1" applyBorder="1"/>
    <xf numFmtId="9" fontId="0" fillId="0" borderId="0" xfId="1" applyFont="1" applyBorder="1"/>
    <xf numFmtId="9" fontId="0" fillId="0" borderId="18" xfId="1" applyFont="1" applyBorder="1"/>
    <xf numFmtId="9" fontId="0" fillId="0" borderId="19" xfId="1" applyFont="1" applyBorder="1"/>
    <xf numFmtId="9" fontId="0" fillId="0" borderId="20" xfId="1" applyFont="1" applyBorder="1"/>
    <xf numFmtId="9" fontId="0" fillId="0" borderId="21" xfId="1" applyFont="1" applyBorder="1"/>
    <xf numFmtId="9" fontId="0" fillId="0" borderId="19" xfId="0" applyNumberFormat="1" applyBorder="1" applyAlignment="1">
      <alignment wrapText="1"/>
    </xf>
    <xf numFmtId="9" fontId="0" fillId="0" borderId="20" xfId="0" applyNumberFormat="1" applyBorder="1" applyAlignment="1">
      <alignment wrapText="1"/>
    </xf>
    <xf numFmtId="9" fontId="0" fillId="0" borderId="20" xfId="0" applyNumberFormat="1" applyBorder="1"/>
    <xf numFmtId="9" fontId="0" fillId="0" borderId="21" xfId="0" applyNumberFormat="1" applyBorder="1"/>
    <xf numFmtId="0" fontId="0" fillId="0" borderId="0" xfId="0" applyAlignment="1">
      <alignment horizontal="left" wrapText="1"/>
    </xf>
    <xf numFmtId="0" fontId="8" fillId="0" borderId="0" xfId="0" applyFont="1" applyAlignment="1">
      <alignment horizontal="center"/>
    </xf>
    <xf numFmtId="9" fontId="5" fillId="0" borderId="17" xfId="0" applyNumberFormat="1" applyFont="1" applyBorder="1"/>
    <xf numFmtId="9" fontId="5" fillId="0" borderId="18" xfId="0" applyNumberFormat="1" applyFont="1" applyBorder="1"/>
    <xf numFmtId="10" fontId="5" fillId="0" borderId="17" xfId="0" applyNumberFormat="1" applyFont="1" applyBorder="1"/>
    <xf numFmtId="10" fontId="0" fillId="0" borderId="18" xfId="0" applyNumberFormat="1" applyBorder="1"/>
    <xf numFmtId="10" fontId="5" fillId="0" borderId="19" xfId="0" applyNumberFormat="1" applyFont="1" applyBorder="1"/>
    <xf numFmtId="10" fontId="5" fillId="0" borderId="20" xfId="0" applyNumberFormat="1" applyFont="1" applyBorder="1"/>
    <xf numFmtId="10" fontId="0" fillId="0" borderId="20" xfId="0" applyNumberFormat="1" applyBorder="1"/>
    <xf numFmtId="10" fontId="0" fillId="0" borderId="21" xfId="0" applyNumberFormat="1" applyBorder="1"/>
    <xf numFmtId="9" fontId="8" fillId="0" borderId="0" xfId="0" applyNumberFormat="1" applyFont="1" applyAlignment="1">
      <alignment horizontal="center"/>
    </xf>
    <xf numFmtId="10" fontId="0" fillId="0" borderId="17" xfId="0" applyNumberFormat="1" applyBorder="1"/>
    <xf numFmtId="10" fontId="0" fillId="0" borderId="19" xfId="0" applyNumberFormat="1" applyBorder="1"/>
    <xf numFmtId="0" fontId="3" fillId="0" borderId="0" xfId="0" applyFont="1" applyAlignment="1">
      <alignment wrapText="1"/>
    </xf>
    <xf numFmtId="9" fontId="6" fillId="0" borderId="0" xfId="0" applyNumberFormat="1" applyFont="1" applyAlignment="1">
      <alignment wrapText="1"/>
    </xf>
    <xf numFmtId="0" fontId="3" fillId="0" borderId="0" xfId="0" applyFont="1"/>
    <xf numFmtId="9" fontId="0" fillId="0" borderId="31" xfId="0" applyNumberFormat="1" applyBorder="1"/>
    <xf numFmtId="9" fontId="0" fillId="0" borderId="32" xfId="0" applyNumberFormat="1" applyBorder="1"/>
    <xf numFmtId="9" fontId="0" fillId="0" borderId="33" xfId="0" applyNumberFormat="1" applyBorder="1"/>
    <xf numFmtId="0" fontId="5" fillId="0" borderId="0" xfId="0" applyFont="1"/>
    <xf numFmtId="9" fontId="5" fillId="0" borderId="2" xfId="0" applyNumberFormat="1" applyFont="1" applyBorder="1"/>
    <xf numFmtId="10" fontId="5" fillId="0" borderId="2" xfId="0" applyNumberFormat="1" applyFont="1" applyBorder="1"/>
    <xf numFmtId="0" fontId="0" fillId="0" borderId="2" xfId="0" applyBorder="1"/>
    <xf numFmtId="10" fontId="0" fillId="0" borderId="2" xfId="0" applyNumberFormat="1" applyBorder="1"/>
    <xf numFmtId="10" fontId="0" fillId="0" borderId="16" xfId="0" applyNumberFormat="1" applyBorder="1"/>
    <xf numFmtId="9" fontId="5" fillId="0" borderId="20" xfId="0" applyNumberFormat="1" applyFont="1" applyBorder="1"/>
    <xf numFmtId="10" fontId="5" fillId="0" borderId="15" xfId="0" applyNumberFormat="1" applyFont="1" applyBorder="1"/>
    <xf numFmtId="10" fontId="5" fillId="0" borderId="16" xfId="0" applyNumberFormat="1" applyFont="1" applyBorder="1"/>
    <xf numFmtId="10" fontId="5" fillId="0" borderId="18" xfId="0" applyNumberFormat="1" applyFont="1" applyBorder="1"/>
    <xf numFmtId="10" fontId="5" fillId="0" borderId="21" xfId="0" applyNumberFormat="1" applyFont="1" applyBorder="1"/>
    <xf numFmtId="10" fontId="0" fillId="0" borderId="15" xfId="0" applyNumberFormat="1" applyBorder="1"/>
    <xf numFmtId="0" fontId="5" fillId="0" borderId="0" xfId="0" applyFont="1" applyAlignment="1">
      <alignment horizontal="center" vertical="center" wrapText="1"/>
    </xf>
    <xf numFmtId="164" fontId="3" fillId="0" borderId="0" xfId="0" applyNumberFormat="1" applyFont="1"/>
    <xf numFmtId="0" fontId="5" fillId="9" borderId="0" xfId="0" applyFont="1" applyFill="1" applyAlignment="1">
      <alignment horizontal="center" wrapText="1"/>
    </xf>
    <xf numFmtId="9" fontId="23" fillId="9" borderId="10" xfId="0" applyNumberFormat="1" applyFont="1" applyFill="1" applyBorder="1" applyAlignment="1">
      <alignment wrapText="1"/>
    </xf>
    <xf numFmtId="0" fontId="5" fillId="9" borderId="39" xfId="0" applyFont="1" applyFill="1" applyBorder="1" applyAlignment="1">
      <alignment horizontal="center" wrapText="1"/>
    </xf>
    <xf numFmtId="0" fontId="5" fillId="9" borderId="40" xfId="0" applyFont="1" applyFill="1" applyBorder="1" applyAlignment="1">
      <alignment horizontal="center" wrapText="1"/>
    </xf>
    <xf numFmtId="0" fontId="5" fillId="9" borderId="41" xfId="0" applyFont="1" applyFill="1" applyBorder="1" applyAlignment="1">
      <alignment horizontal="center" wrapText="1"/>
    </xf>
    <xf numFmtId="9" fontId="23" fillId="9" borderId="42" xfId="0" applyNumberFormat="1" applyFont="1" applyFill="1" applyBorder="1" applyAlignment="1">
      <alignment wrapText="1"/>
    </xf>
    <xf numFmtId="9" fontId="23" fillId="9" borderId="43" xfId="0" applyNumberFormat="1" applyFont="1" applyFill="1" applyBorder="1"/>
    <xf numFmtId="0" fontId="0" fillId="0" borderId="18" xfId="0" applyBorder="1" applyAlignment="1">
      <alignment vertical="top"/>
    </xf>
    <xf numFmtId="164" fontId="3" fillId="0" borderId="17" xfId="0" applyNumberFormat="1" applyFont="1" applyBorder="1"/>
    <xf numFmtId="164" fontId="3" fillId="0" borderId="18" xfId="0" applyNumberFormat="1" applyFont="1" applyBorder="1"/>
    <xf numFmtId="164" fontId="3" fillId="0" borderId="19" xfId="0" applyNumberFormat="1" applyFont="1" applyBorder="1"/>
    <xf numFmtId="164" fontId="3" fillId="0" borderId="20" xfId="0" applyNumberFormat="1" applyFont="1" applyBorder="1"/>
    <xf numFmtId="164" fontId="3" fillId="0" borderId="21" xfId="0" applyNumberFormat="1" applyFont="1" applyBorder="1"/>
    <xf numFmtId="0" fontId="7" fillId="0" borderId="0" xfId="0" applyFont="1" applyAlignment="1">
      <alignment wrapText="1"/>
    </xf>
    <xf numFmtId="9" fontId="23" fillId="0" borderId="0" xfId="0" applyNumberFormat="1" applyFont="1"/>
    <xf numFmtId="9" fontId="5" fillId="0" borderId="0" xfId="0" applyNumberFormat="1" applyFont="1" applyAlignment="1">
      <alignment vertical="center"/>
    </xf>
    <xf numFmtId="0" fontId="8" fillId="0" borderId="0" xfId="0" applyFont="1"/>
    <xf numFmtId="164" fontId="3" fillId="0" borderId="2" xfId="1" applyNumberFormat="1" applyFont="1" applyBorder="1" applyAlignment="1">
      <alignment horizontal="center"/>
    </xf>
    <xf numFmtId="0" fontId="6" fillId="0" borderId="2" xfId="0" applyFont="1" applyBorder="1" applyAlignment="1">
      <alignment wrapText="1"/>
    </xf>
    <xf numFmtId="2" fontId="5" fillId="0" borderId="2" xfId="0" applyNumberFormat="1" applyFont="1" applyBorder="1" applyAlignment="1">
      <alignment wrapText="1"/>
    </xf>
    <xf numFmtId="9" fontId="3" fillId="0" borderId="2" xfId="1" applyFont="1" applyBorder="1" applyAlignment="1">
      <alignment horizontal="center"/>
    </xf>
    <xf numFmtId="9" fontId="5" fillId="0" borderId="15" xfId="0" applyNumberFormat="1" applyFont="1" applyBorder="1"/>
    <xf numFmtId="0" fontId="0" fillId="0" borderId="16" xfId="0" applyBorder="1" applyAlignment="1">
      <alignment vertical="top"/>
    </xf>
    <xf numFmtId="164" fontId="3" fillId="0" borderId="0" xfId="1" applyNumberFormat="1" applyFont="1" applyBorder="1" applyAlignment="1">
      <alignment horizontal="center"/>
    </xf>
    <xf numFmtId="9" fontId="3" fillId="0" borderId="0" xfId="1" applyFont="1" applyBorder="1" applyAlignment="1">
      <alignment horizontal="center"/>
    </xf>
    <xf numFmtId="164" fontId="3" fillId="0" borderId="20" xfId="1" applyNumberFormat="1" applyFont="1" applyBorder="1" applyAlignment="1">
      <alignment horizontal="center"/>
    </xf>
    <xf numFmtId="0" fontId="6" fillId="0" borderId="20" xfId="0" applyFont="1" applyBorder="1" applyAlignment="1">
      <alignment wrapText="1"/>
    </xf>
    <xf numFmtId="2" fontId="5" fillId="0" borderId="20" xfId="0" applyNumberFormat="1" applyFont="1" applyBorder="1" applyAlignment="1">
      <alignment wrapText="1"/>
    </xf>
    <xf numFmtId="9" fontId="3" fillId="0" borderId="20" xfId="1" applyFont="1" applyBorder="1" applyAlignment="1">
      <alignment horizontal="center"/>
    </xf>
    <xf numFmtId="9" fontId="5" fillId="0" borderId="19" xfId="0" applyNumberFormat="1" applyFont="1" applyBorder="1"/>
    <xf numFmtId="0" fontId="0" fillId="0" borderId="21" xfId="0" applyBorder="1" applyAlignment="1">
      <alignment vertical="top"/>
    </xf>
    <xf numFmtId="164" fontId="3" fillId="0" borderId="15" xfId="0" applyNumberFormat="1" applyFont="1" applyBorder="1"/>
    <xf numFmtId="164" fontId="3" fillId="0" borderId="2" xfId="0" applyNumberFormat="1" applyFont="1" applyBorder="1"/>
    <xf numFmtId="164" fontId="3" fillId="0" borderId="16" xfId="0" applyNumberFormat="1" applyFont="1" applyBorder="1"/>
    <xf numFmtId="164" fontId="0" fillId="0" borderId="0" xfId="1" applyNumberFormat="1" applyFont="1" applyBorder="1"/>
    <xf numFmtId="164" fontId="0" fillId="0" borderId="20" xfId="0" applyNumberFormat="1" applyBorder="1"/>
    <xf numFmtId="164" fontId="0" fillId="0" borderId="20" xfId="1" applyNumberFormat="1" applyFont="1" applyBorder="1"/>
    <xf numFmtId="164" fontId="0" fillId="0" borderId="2" xfId="1" applyNumberFormat="1" applyFont="1" applyBorder="1"/>
    <xf numFmtId="9" fontId="6" fillId="0" borderId="17" xfId="0" applyNumberFormat="1" applyFont="1" applyBorder="1" applyAlignment="1">
      <alignment wrapText="1"/>
    </xf>
    <xf numFmtId="9" fontId="6" fillId="0" borderId="18" xfId="0" applyNumberFormat="1" applyFont="1" applyBorder="1" applyAlignment="1">
      <alignment wrapText="1"/>
    </xf>
    <xf numFmtId="9" fontId="3" fillId="0" borderId="15" xfId="1" applyFont="1" applyBorder="1" applyAlignment="1">
      <alignment horizontal="center"/>
    </xf>
    <xf numFmtId="9" fontId="3" fillId="0" borderId="16" xfId="1" applyFont="1" applyBorder="1" applyAlignment="1">
      <alignment horizontal="center"/>
    </xf>
    <xf numFmtId="9" fontId="3" fillId="0" borderId="17" xfId="1" applyFont="1" applyBorder="1" applyAlignment="1">
      <alignment horizontal="center"/>
    </xf>
    <xf numFmtId="9" fontId="3" fillId="0" borderId="18" xfId="1" applyFont="1" applyBorder="1" applyAlignment="1">
      <alignment horizontal="center"/>
    </xf>
    <xf numFmtId="9" fontId="3" fillId="0" borderId="19" xfId="1" applyFont="1" applyBorder="1" applyAlignment="1">
      <alignment horizontal="center"/>
    </xf>
    <xf numFmtId="9" fontId="3" fillId="0" borderId="21" xfId="1" applyFont="1" applyBorder="1" applyAlignment="1">
      <alignment horizontal="center"/>
    </xf>
    <xf numFmtId="0" fontId="3" fillId="10" borderId="16" xfId="0" applyFont="1" applyFill="1" applyBorder="1" applyAlignment="1">
      <alignment horizontal="center"/>
    </xf>
    <xf numFmtId="0" fontId="3" fillId="10" borderId="0" xfId="0" applyFont="1" applyFill="1" applyAlignment="1">
      <alignment horizontal="center"/>
    </xf>
    <xf numFmtId="0" fontId="3" fillId="10" borderId="0" xfId="0" applyFont="1" applyFill="1" applyAlignment="1">
      <alignment horizontal="center" wrapText="1"/>
    </xf>
    <xf numFmtId="0" fontId="3" fillId="10" borderId="18" xfId="0" applyFont="1" applyFill="1" applyBorder="1" applyAlignment="1">
      <alignment horizontal="center"/>
    </xf>
    <xf numFmtId="9" fontId="6" fillId="10" borderId="17" xfId="0" applyNumberFormat="1" applyFont="1" applyFill="1" applyBorder="1" applyAlignment="1">
      <alignment wrapText="1"/>
    </xf>
    <xf numFmtId="9" fontId="6" fillId="10" borderId="0" xfId="0" applyNumberFormat="1" applyFont="1" applyFill="1" applyAlignment="1">
      <alignment wrapText="1"/>
    </xf>
    <xf numFmtId="0" fontId="5" fillId="10" borderId="0" xfId="0" applyFont="1" applyFill="1" applyAlignment="1">
      <alignment horizontal="center" wrapText="1"/>
    </xf>
    <xf numFmtId="9" fontId="6" fillId="10" borderId="18" xfId="0" applyNumberFormat="1" applyFont="1" applyFill="1" applyBorder="1" applyAlignment="1">
      <alignment wrapText="1"/>
    </xf>
    <xf numFmtId="0" fontId="5" fillId="10" borderId="17" xfId="0" applyFont="1" applyFill="1" applyBorder="1" applyAlignment="1">
      <alignment horizontal="center" wrapText="1"/>
    </xf>
    <xf numFmtId="9" fontId="5" fillId="10" borderId="17" xfId="0" applyNumberFormat="1" applyFont="1" applyFill="1" applyBorder="1"/>
    <xf numFmtId="9" fontId="5" fillId="10" borderId="0" xfId="0" applyNumberFormat="1" applyFont="1" applyFill="1"/>
    <xf numFmtId="9" fontId="5" fillId="10" borderId="0" xfId="0" applyNumberFormat="1" applyFont="1" applyFill="1" applyAlignment="1">
      <alignment wrapText="1"/>
    </xf>
    <xf numFmtId="2" fontId="5" fillId="10" borderId="17" xfId="0" applyNumberFormat="1" applyFont="1" applyFill="1" applyBorder="1"/>
    <xf numFmtId="2" fontId="5" fillId="10" borderId="0" xfId="0" applyNumberFormat="1" applyFont="1" applyFill="1"/>
    <xf numFmtId="9" fontId="5" fillId="10" borderId="19" xfId="1" applyFont="1" applyFill="1" applyBorder="1"/>
    <xf numFmtId="9" fontId="5" fillId="10" borderId="20" xfId="1" applyFont="1" applyFill="1" applyBorder="1"/>
    <xf numFmtId="2" fontId="5" fillId="10" borderId="20" xfId="0" applyNumberFormat="1" applyFont="1" applyFill="1" applyBorder="1" applyAlignment="1">
      <alignment wrapText="1"/>
    </xf>
    <xf numFmtId="2" fontId="5" fillId="10" borderId="20" xfId="0" applyNumberFormat="1" applyFont="1" applyFill="1" applyBorder="1"/>
    <xf numFmtId="2" fontId="5" fillId="10" borderId="21" xfId="0" applyNumberFormat="1" applyFont="1" applyFill="1" applyBorder="1"/>
    <xf numFmtId="0" fontId="5" fillId="10" borderId="18" xfId="0" applyFont="1" applyFill="1" applyBorder="1" applyAlignment="1">
      <alignment horizontal="center" wrapText="1"/>
    </xf>
    <xf numFmtId="9" fontId="5" fillId="10" borderId="18" xfId="0" applyNumberFormat="1" applyFont="1" applyFill="1" applyBorder="1"/>
    <xf numFmtId="2" fontId="5" fillId="10" borderId="18" xfId="0" applyNumberFormat="1" applyFont="1" applyFill="1" applyBorder="1"/>
    <xf numFmtId="9" fontId="5" fillId="10" borderId="21" xfId="1" applyFont="1" applyFill="1" applyBorder="1"/>
    <xf numFmtId="0" fontId="5" fillId="10" borderId="31" xfId="0" applyFont="1" applyFill="1" applyBorder="1" applyAlignment="1">
      <alignment wrapText="1"/>
    </xf>
    <xf numFmtId="2" fontId="5" fillId="10" borderId="33" xfId="0" applyNumberFormat="1" applyFont="1" applyFill="1" applyBorder="1" applyAlignment="1">
      <alignment horizontal="left" wrapText="1"/>
    </xf>
    <xf numFmtId="0" fontId="5" fillId="10" borderId="15" xfId="0" applyFont="1" applyFill="1" applyBorder="1" applyAlignment="1">
      <alignment wrapText="1"/>
    </xf>
    <xf numFmtId="2" fontId="5" fillId="10" borderId="19" xfId="0" applyNumberFormat="1" applyFont="1" applyFill="1" applyBorder="1" applyAlignment="1">
      <alignment horizontal="left" wrapText="1"/>
    </xf>
    <xf numFmtId="9" fontId="5" fillId="10" borderId="17" xfId="0" applyNumberFormat="1" applyFont="1" applyFill="1" applyBorder="1" applyAlignment="1">
      <alignment wrapText="1"/>
    </xf>
    <xf numFmtId="9" fontId="5" fillId="10" borderId="18" xfId="0" applyNumberFormat="1" applyFont="1" applyFill="1" applyBorder="1" applyAlignment="1">
      <alignment wrapText="1"/>
    </xf>
    <xf numFmtId="0" fontId="27" fillId="10" borderId="32" xfId="0" applyFont="1" applyFill="1" applyBorder="1" applyAlignment="1">
      <alignment wrapText="1"/>
    </xf>
    <xf numFmtId="164" fontId="3" fillId="0" borderId="15" xfId="1" applyNumberFormat="1" applyFont="1" applyBorder="1" applyAlignment="1">
      <alignment horizontal="center"/>
    </xf>
    <xf numFmtId="164" fontId="3" fillId="0" borderId="16" xfId="1" applyNumberFormat="1" applyFont="1" applyBorder="1" applyAlignment="1">
      <alignment horizontal="center"/>
    </xf>
    <xf numFmtId="164" fontId="3" fillId="0" borderId="17" xfId="1" applyNumberFormat="1" applyFont="1" applyBorder="1" applyAlignment="1">
      <alignment horizontal="center"/>
    </xf>
    <xf numFmtId="164" fontId="3" fillId="0" borderId="18" xfId="1" applyNumberFormat="1" applyFont="1" applyBorder="1" applyAlignment="1">
      <alignment horizontal="center"/>
    </xf>
    <xf numFmtId="164" fontId="3" fillId="0" borderId="19" xfId="1" applyNumberFormat="1" applyFont="1" applyBorder="1" applyAlignment="1">
      <alignment horizontal="center"/>
    </xf>
    <xf numFmtId="164" fontId="3" fillId="0" borderId="21" xfId="1" applyNumberFormat="1" applyFont="1" applyBorder="1" applyAlignment="1">
      <alignment horizontal="center"/>
    </xf>
    <xf numFmtId="9" fontId="0" fillId="0" borderId="15" xfId="0" applyNumberFormat="1" applyBorder="1" applyAlignment="1">
      <alignment vertical="center"/>
    </xf>
    <xf numFmtId="9" fontId="0" fillId="0" borderId="17" xfId="0" applyNumberFormat="1" applyBorder="1" applyAlignment="1">
      <alignment vertical="center"/>
    </xf>
    <xf numFmtId="9" fontId="0" fillId="0" borderId="31" xfId="0" applyNumberFormat="1" applyBorder="1" applyAlignment="1">
      <alignment vertical="center"/>
    </xf>
    <xf numFmtId="9" fontId="0" fillId="0" borderId="32" xfId="0" applyNumberFormat="1" applyBorder="1" applyAlignment="1">
      <alignment vertical="center"/>
    </xf>
    <xf numFmtId="9" fontId="0" fillId="0" borderId="33" xfId="0" applyNumberFormat="1" applyBorder="1" applyAlignment="1">
      <alignment vertical="center"/>
    </xf>
    <xf numFmtId="9" fontId="5" fillId="0" borderId="15" xfId="0" applyNumberFormat="1" applyFont="1" applyBorder="1" applyAlignment="1">
      <alignment vertical="center" wrapText="1"/>
    </xf>
    <xf numFmtId="9" fontId="5" fillId="0" borderId="15" xfId="0" applyNumberFormat="1" applyFont="1" applyBorder="1" applyAlignment="1">
      <alignment vertical="center"/>
    </xf>
    <xf numFmtId="9" fontId="5" fillId="0" borderId="17" xfId="0" applyNumberFormat="1" applyFont="1" applyBorder="1" applyAlignment="1">
      <alignment vertical="center"/>
    </xf>
    <xf numFmtId="9" fontId="5" fillId="0" borderId="17" xfId="0" applyNumberFormat="1" applyFont="1" applyBorder="1" applyAlignment="1">
      <alignment vertical="center" wrapText="1"/>
    </xf>
    <xf numFmtId="9" fontId="5" fillId="0" borderId="19" xfId="0" applyNumberFormat="1" applyFont="1" applyBorder="1" applyAlignment="1">
      <alignment vertical="center" wrapText="1"/>
    </xf>
    <xf numFmtId="0" fontId="0" fillId="0" borderId="15" xfId="0" applyBorder="1"/>
    <xf numFmtId="0" fontId="0" fillId="0" borderId="16" xfId="0" applyBorder="1"/>
    <xf numFmtId="9" fontId="0" fillId="0" borderId="17" xfId="0" applyNumberFormat="1" applyBorder="1"/>
    <xf numFmtId="9" fontId="28" fillId="7" borderId="44" xfId="0" applyNumberFormat="1" applyFont="1" applyFill="1" applyBorder="1" applyAlignment="1">
      <alignment horizontal="right" wrapText="1" readingOrder="1"/>
    </xf>
    <xf numFmtId="9" fontId="28" fillId="7" borderId="45" xfId="0" applyNumberFormat="1" applyFont="1" applyFill="1" applyBorder="1" applyAlignment="1">
      <alignment horizontal="right" wrapText="1" readingOrder="1"/>
    </xf>
    <xf numFmtId="9" fontId="28" fillId="7" borderId="46" xfId="0" applyNumberFormat="1" applyFont="1" applyFill="1" applyBorder="1" applyAlignment="1">
      <alignment horizontal="right" wrapText="1" readingOrder="1"/>
    </xf>
    <xf numFmtId="0" fontId="5" fillId="9" borderId="0" xfId="0" applyFont="1" applyFill="1" applyAlignment="1">
      <alignment wrapText="1"/>
    </xf>
    <xf numFmtId="9" fontId="0" fillId="9" borderId="0" xfId="0" applyNumberFormat="1" applyFill="1"/>
    <xf numFmtId="164" fontId="27" fillId="0" borderId="0" xfId="0" applyNumberFormat="1" applyFont="1"/>
    <xf numFmtId="0" fontId="29" fillId="0" borderId="0" xfId="0" applyFont="1"/>
    <xf numFmtId="0" fontId="0" fillId="0" borderId="0" xfId="0" applyAlignment="1">
      <alignment horizontal="left"/>
    </xf>
    <xf numFmtId="0" fontId="30" fillId="0" borderId="0" xfId="0" applyFont="1"/>
    <xf numFmtId="0" fontId="0" fillId="0" borderId="18" xfId="0" applyBorder="1"/>
    <xf numFmtId="9" fontId="0" fillId="0" borderId="0" xfId="0" applyNumberFormat="1" applyAlignment="1">
      <alignment horizontal="left" vertical="center"/>
    </xf>
    <xf numFmtId="0" fontId="0" fillId="0" borderId="0" xfId="0" applyAlignment="1">
      <alignment vertical="center"/>
    </xf>
    <xf numFmtId="0" fontId="0" fillId="11" borderId="0" xfId="0" applyFill="1"/>
    <xf numFmtId="0" fontId="0" fillId="12" borderId="0" xfId="0" applyFill="1"/>
    <xf numFmtId="0" fontId="0" fillId="5" borderId="0" xfId="0" applyFill="1"/>
    <xf numFmtId="0" fontId="3" fillId="13" borderId="0" xfId="0" applyFont="1" applyFill="1"/>
    <xf numFmtId="0" fontId="0" fillId="13" borderId="0" xfId="0" applyFill="1"/>
    <xf numFmtId="0" fontId="5" fillId="13" borderId="0" xfId="0" applyFont="1" applyFill="1"/>
    <xf numFmtId="0" fontId="0" fillId="5" borderId="0" xfId="0" applyFill="1" applyAlignment="1">
      <alignment wrapText="1"/>
    </xf>
    <xf numFmtId="164" fontId="0" fillId="5" borderId="0" xfId="0" applyNumberFormat="1" applyFill="1"/>
    <xf numFmtId="0" fontId="0" fillId="12" borderId="0" xfId="0" applyFill="1" applyAlignment="1">
      <alignment wrapText="1"/>
    </xf>
    <xf numFmtId="164" fontId="0" fillId="12" borderId="0" xfId="0" applyNumberFormat="1" applyFill="1"/>
    <xf numFmtId="0" fontId="0" fillId="11" borderId="0" xfId="0" applyFill="1" applyAlignment="1">
      <alignment wrapText="1"/>
    </xf>
    <xf numFmtId="10" fontId="0" fillId="11" borderId="0" xfId="0" applyNumberFormat="1" applyFill="1"/>
    <xf numFmtId="0" fontId="0" fillId="12" borderId="0" xfId="0" applyFill="1" applyAlignment="1">
      <alignment horizontal="center"/>
    </xf>
    <xf numFmtId="0" fontId="0" fillId="14" borderId="0" xfId="0" applyFill="1"/>
    <xf numFmtId="0" fontId="0" fillId="14" borderId="0" xfId="0" applyFill="1" applyAlignment="1">
      <alignment wrapText="1"/>
    </xf>
    <xf numFmtId="9" fontId="0" fillId="14" borderId="0" xfId="0" applyNumberFormat="1" applyFill="1"/>
    <xf numFmtId="9" fontId="0" fillId="13" borderId="0" xfId="0" applyNumberFormat="1" applyFill="1"/>
    <xf numFmtId="9" fontId="5" fillId="13" borderId="0" xfId="0" applyNumberFormat="1" applyFont="1" applyFill="1"/>
    <xf numFmtId="0" fontId="5" fillId="13" borderId="0" xfId="0" applyFont="1" applyFill="1" applyAlignment="1">
      <alignment wrapText="1"/>
    </xf>
    <xf numFmtId="9" fontId="0" fillId="13" borderId="0" xfId="0" applyNumberFormat="1" applyFill="1" applyAlignment="1">
      <alignment vertical="top"/>
    </xf>
    <xf numFmtId="10" fontId="0" fillId="5" borderId="0" xfId="0" applyNumberFormat="1" applyFill="1"/>
    <xf numFmtId="0" fontId="0" fillId="13" borderId="0" xfId="0" applyFill="1" applyAlignment="1">
      <alignment horizontal="center"/>
    </xf>
    <xf numFmtId="0" fontId="0" fillId="11" borderId="0" xfId="0" applyFill="1" applyAlignment="1">
      <alignment horizontal="center"/>
    </xf>
    <xf numFmtId="9" fontId="0" fillId="11" borderId="0" xfId="0" applyNumberFormat="1" applyFill="1" applyAlignment="1">
      <alignment horizontal="center" vertical="top"/>
    </xf>
    <xf numFmtId="0" fontId="0" fillId="5" borderId="0" xfId="0" applyFill="1" applyAlignment="1">
      <alignment horizontal="center"/>
    </xf>
    <xf numFmtId="0" fontId="8" fillId="13" borderId="0" xfId="0" applyFont="1" applyFill="1"/>
    <xf numFmtId="10" fontId="0" fillId="0" borderId="0" xfId="1" applyNumberFormat="1" applyFont="1"/>
    <xf numFmtId="10" fontId="0" fillId="8" borderId="0" xfId="0" applyNumberFormat="1" applyFill="1"/>
    <xf numFmtId="0" fontId="0" fillId="8" borderId="0" xfId="0" applyFill="1"/>
    <xf numFmtId="164" fontId="0" fillId="8" borderId="0" xfId="1" applyNumberFormat="1" applyFont="1" applyFill="1"/>
    <xf numFmtId="164" fontId="0" fillId="8" borderId="0" xfId="0" applyNumberFormat="1" applyFill="1"/>
    <xf numFmtId="0" fontId="0" fillId="5" borderId="17" xfId="0" applyFill="1" applyBorder="1" applyAlignment="1">
      <alignment wrapText="1"/>
    </xf>
    <xf numFmtId="164" fontId="0" fillId="8" borderId="0" xfId="1" applyNumberFormat="1" applyFont="1" applyFill="1" applyBorder="1"/>
    <xf numFmtId="10" fontId="0" fillId="8" borderId="0" xfId="1" applyNumberFormat="1" applyFont="1" applyFill="1" applyBorder="1"/>
    <xf numFmtId="10" fontId="0" fillId="0" borderId="18" xfId="1" applyNumberFormat="1" applyFont="1" applyBorder="1"/>
    <xf numFmtId="10" fontId="0" fillId="0" borderId="0" xfId="1" applyNumberFormat="1" applyFont="1" applyBorder="1"/>
    <xf numFmtId="164" fontId="0" fillId="0" borderId="17" xfId="0" applyNumberFormat="1" applyBorder="1"/>
    <xf numFmtId="164" fontId="0" fillId="0" borderId="18" xfId="0" applyNumberFormat="1" applyBorder="1"/>
    <xf numFmtId="10" fontId="0" fillId="8" borderId="20" xfId="0" applyNumberFormat="1" applyFill="1" applyBorder="1"/>
    <xf numFmtId="10" fontId="0" fillId="8" borderId="17" xfId="0" applyNumberFormat="1" applyFill="1" applyBorder="1"/>
    <xf numFmtId="0" fontId="0" fillId="8" borderId="17" xfId="0" applyFill="1" applyBorder="1"/>
    <xf numFmtId="164" fontId="0" fillId="8" borderId="17" xfId="1" applyNumberFormat="1" applyFont="1" applyFill="1" applyBorder="1"/>
    <xf numFmtId="164" fontId="0" fillId="8" borderId="17" xfId="0" applyNumberFormat="1" applyFill="1" applyBorder="1"/>
    <xf numFmtId="10" fontId="0" fillId="8" borderId="19" xfId="0" applyNumberFormat="1" applyFill="1" applyBorder="1"/>
    <xf numFmtId="164" fontId="0" fillId="0" borderId="17" xfId="1" applyNumberFormat="1" applyFont="1" applyFill="1" applyBorder="1"/>
    <xf numFmtId="0" fontId="0" fillId="15" borderId="0" xfId="0" applyFill="1" applyAlignment="1">
      <alignment wrapText="1"/>
    </xf>
    <xf numFmtId="0" fontId="0" fillId="0" borderId="0" xfId="0" applyAlignment="1">
      <alignment horizontal="center" wrapText="1"/>
    </xf>
    <xf numFmtId="0" fontId="0" fillId="16" borderId="0" xfId="0" applyFill="1"/>
    <xf numFmtId="0" fontId="0" fillId="16" borderId="1" xfId="0" applyFill="1" applyBorder="1"/>
    <xf numFmtId="164" fontId="0" fillId="16" borderId="1" xfId="0" applyNumberFormat="1" applyFill="1" applyBorder="1"/>
    <xf numFmtId="0" fontId="0" fillId="17" borderId="0" xfId="0" applyFill="1"/>
    <xf numFmtId="0" fontId="5" fillId="17" borderId="0" xfId="0" applyFont="1" applyFill="1" applyAlignment="1">
      <alignment horizontal="center" wrapText="1"/>
    </xf>
    <xf numFmtId="0" fontId="0" fillId="0" borderId="11" xfId="0" applyBorder="1" applyAlignment="1">
      <alignment horizontal="center"/>
    </xf>
    <xf numFmtId="0" fontId="0" fillId="0" borderId="34" xfId="0" applyBorder="1" applyAlignment="1">
      <alignment horizontal="center"/>
    </xf>
    <xf numFmtId="10" fontId="0" fillId="17" borderId="11" xfId="0" applyNumberFormat="1" applyFill="1" applyBorder="1"/>
    <xf numFmtId="10" fontId="0" fillId="17" borderId="0" xfId="0" applyNumberFormat="1" applyFill="1"/>
    <xf numFmtId="10" fontId="0" fillId="17" borderId="34" xfId="0" applyNumberFormat="1" applyFill="1" applyBorder="1"/>
    <xf numFmtId="0" fontId="0" fillId="0" borderId="11" xfId="0" applyBorder="1"/>
    <xf numFmtId="0" fontId="0" fillId="0" borderId="34" xfId="0" applyBorder="1"/>
    <xf numFmtId="164" fontId="0" fillId="17" borderId="11" xfId="0" applyNumberFormat="1" applyFill="1" applyBorder="1"/>
    <xf numFmtId="0" fontId="0" fillId="17" borderId="34" xfId="0" applyFill="1" applyBorder="1"/>
    <xf numFmtId="164" fontId="0" fillId="17" borderId="0" xfId="0" applyNumberFormat="1" applyFill="1"/>
    <xf numFmtId="164" fontId="0" fillId="17" borderId="34" xfId="0" applyNumberFormat="1" applyFill="1" applyBorder="1"/>
    <xf numFmtId="164" fontId="0" fillId="17" borderId="6" xfId="0" applyNumberFormat="1" applyFill="1" applyBorder="1"/>
    <xf numFmtId="164" fontId="0" fillId="17" borderId="7" xfId="0" applyNumberFormat="1" applyFill="1" applyBorder="1"/>
    <xf numFmtId="164" fontId="0" fillId="17" borderId="8" xfId="0" applyNumberFormat="1" applyFill="1"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9" fontId="0" fillId="17" borderId="6" xfId="0" applyNumberFormat="1" applyFill="1" applyBorder="1"/>
    <xf numFmtId="9" fontId="0" fillId="17" borderId="7" xfId="0" applyNumberFormat="1" applyFill="1" applyBorder="1"/>
    <xf numFmtId="9" fontId="0" fillId="17" borderId="8" xfId="0" applyNumberFormat="1" applyFill="1" applyBorder="1"/>
    <xf numFmtId="9" fontId="0" fillId="8" borderId="0" xfId="0" applyNumberFormat="1" applyFill="1"/>
    <xf numFmtId="0" fontId="0" fillId="8" borderId="47" xfId="0" applyFill="1" applyBorder="1"/>
    <xf numFmtId="9" fontId="0" fillId="8" borderId="48" xfId="0" applyNumberFormat="1" applyFill="1" applyBorder="1"/>
    <xf numFmtId="0" fontId="0" fillId="8" borderId="48" xfId="0" applyFill="1" applyBorder="1"/>
    <xf numFmtId="164" fontId="0" fillId="8" borderId="48" xfId="0" applyNumberFormat="1" applyFill="1" applyBorder="1"/>
    <xf numFmtId="10" fontId="0" fillId="8" borderId="48" xfId="0" applyNumberFormat="1" applyFill="1" applyBorder="1"/>
    <xf numFmtId="164" fontId="0" fillId="8" borderId="49" xfId="0" applyNumberFormat="1" applyFill="1" applyBorder="1"/>
    <xf numFmtId="0" fontId="0" fillId="0" borderId="48" xfId="0" applyBorder="1"/>
    <xf numFmtId="0" fontId="0" fillId="8" borderId="50" xfId="0" applyFill="1" applyBorder="1"/>
    <xf numFmtId="0" fontId="0" fillId="0" borderId="51" xfId="0" applyBorder="1"/>
    <xf numFmtId="0" fontId="0" fillId="11" borderId="17" xfId="0" applyFill="1" applyBorder="1" applyAlignment="1">
      <alignment wrapText="1"/>
    </xf>
    <xf numFmtId="0" fontId="0" fillId="0" borderId="50" xfId="0" applyBorder="1"/>
    <xf numFmtId="164" fontId="0" fillId="0" borderId="32" xfId="1" applyNumberFormat="1" applyFont="1" applyFill="1" applyBorder="1"/>
    <xf numFmtId="164" fontId="0" fillId="0" borderId="32" xfId="0" applyNumberFormat="1" applyBorder="1"/>
    <xf numFmtId="10" fontId="0" fillId="0" borderId="33" xfId="0" applyNumberFormat="1" applyBorder="1"/>
    <xf numFmtId="164" fontId="0" fillId="0" borderId="0" xfId="1" applyNumberFormat="1" applyFont="1" applyFill="1" applyBorder="1"/>
    <xf numFmtId="164" fontId="0" fillId="18" borderId="1" xfId="0" applyNumberFormat="1" applyFill="1" applyBorder="1"/>
    <xf numFmtId="0" fontId="0" fillId="18" borderId="1" xfId="0" applyFill="1" applyBorder="1"/>
    <xf numFmtId="164" fontId="0" fillId="19" borderId="1" xfId="0" applyNumberFormat="1" applyFill="1" applyBorder="1"/>
    <xf numFmtId="0" fontId="0" fillId="19" borderId="1" xfId="0" applyFill="1" applyBorder="1"/>
    <xf numFmtId="164" fontId="0" fillId="18" borderId="25" xfId="0" applyNumberFormat="1" applyFill="1" applyBorder="1"/>
    <xf numFmtId="0" fontId="0" fillId="18" borderId="26" xfId="0" applyFill="1" applyBorder="1"/>
    <xf numFmtId="164" fontId="0" fillId="16" borderId="25" xfId="0" applyNumberFormat="1" applyFill="1" applyBorder="1"/>
    <xf numFmtId="0" fontId="0" fillId="16" borderId="26" xfId="0" applyFill="1" applyBorder="1"/>
    <xf numFmtId="164" fontId="0" fillId="19" borderId="25" xfId="0" applyNumberFormat="1" applyFill="1" applyBorder="1"/>
    <xf numFmtId="0" fontId="0" fillId="19" borderId="26" xfId="0" applyFill="1" applyBorder="1"/>
    <xf numFmtId="164" fontId="0" fillId="20" borderId="27" xfId="0" applyNumberFormat="1" applyFill="1" applyBorder="1"/>
    <xf numFmtId="164" fontId="0" fillId="20" borderId="28" xfId="0" applyNumberFormat="1" applyFill="1" applyBorder="1"/>
    <xf numFmtId="0" fontId="0" fillId="20" borderId="28" xfId="0" applyFill="1" applyBorder="1"/>
    <xf numFmtId="0" fontId="0" fillId="20" borderId="29" xfId="0" applyFill="1" applyBorder="1"/>
    <xf numFmtId="0" fontId="0" fillId="11" borderId="18" xfId="0" applyFill="1" applyBorder="1" applyAlignment="1">
      <alignment wrapText="1"/>
    </xf>
    <xf numFmtId="0" fontId="34" fillId="0" borderId="17" xfId="0" applyFont="1" applyBorder="1"/>
    <xf numFmtId="10" fontId="0" fillId="0" borderId="20" xfId="1" applyNumberFormat="1" applyFont="1" applyBorder="1"/>
    <xf numFmtId="164" fontId="0" fillId="0" borderId="21" xfId="0" applyNumberFormat="1" applyBorder="1"/>
    <xf numFmtId="49" fontId="0" fillId="0" borderId="0" xfId="0" applyNumberFormat="1"/>
    <xf numFmtId="0" fontId="29" fillId="8" borderId="0" xfId="0" applyFont="1" applyFill="1" applyAlignment="1">
      <alignment horizontal="center"/>
    </xf>
    <xf numFmtId="0" fontId="5" fillId="0" borderId="17" xfId="0" applyFont="1" applyBorder="1" applyAlignment="1">
      <alignment horizontal="center" wrapText="1"/>
    </xf>
    <xf numFmtId="0" fontId="5" fillId="0" borderId="18" xfId="0" applyFont="1" applyBorder="1" applyAlignment="1">
      <alignment horizontal="center" wrapText="1"/>
    </xf>
    <xf numFmtId="167" fontId="0" fillId="0" borderId="0" xfId="0" applyNumberFormat="1"/>
    <xf numFmtId="0" fontId="29" fillId="8" borderId="0" xfId="0" applyFont="1" applyFill="1" applyAlignment="1">
      <alignment horizontal="center" vertical="center"/>
    </xf>
    <xf numFmtId="0" fontId="0" fillId="5" borderId="0" xfId="0" applyFill="1" applyAlignment="1">
      <alignment horizontal="left" wrapText="1"/>
    </xf>
    <xf numFmtId="9" fontId="5" fillId="13" borderId="0" xfId="0" applyNumberFormat="1" applyFont="1" applyFill="1" applyAlignment="1">
      <alignment vertical="top"/>
    </xf>
    <xf numFmtId="0" fontId="7" fillId="0" borderId="0" xfId="0" applyFont="1" applyAlignment="1">
      <alignment horizontal="center" wrapText="1"/>
    </xf>
    <xf numFmtId="0" fontId="7" fillId="21" borderId="0" xfId="0" applyFont="1" applyFill="1" applyAlignment="1">
      <alignment wrapText="1"/>
    </xf>
    <xf numFmtId="0" fontId="0" fillId="21" borderId="0" xfId="0" applyFill="1"/>
    <xf numFmtId="49" fontId="0" fillId="21" borderId="0" xfId="0" applyNumberFormat="1" applyFill="1"/>
    <xf numFmtId="10" fontId="0" fillId="21" borderId="0" xfId="0" applyNumberFormat="1" applyFill="1"/>
    <xf numFmtId="167" fontId="0" fillId="21" borderId="0" xfId="0" applyNumberFormat="1" applyFill="1"/>
    <xf numFmtId="9" fontId="0" fillId="21" borderId="0" xfId="0" applyNumberFormat="1" applyFill="1"/>
    <xf numFmtId="0" fontId="0" fillId="22" borderId="0" xfId="0" applyFill="1"/>
    <xf numFmtId="49" fontId="0" fillId="22" borderId="0" xfId="0" applyNumberFormat="1" applyFill="1"/>
    <xf numFmtId="9" fontId="0" fillId="22" borderId="0" xfId="0" applyNumberFormat="1" applyFill="1"/>
    <xf numFmtId="167" fontId="0" fillId="22" borderId="0" xfId="0" applyNumberFormat="1" applyFill="1"/>
    <xf numFmtId="9" fontId="0" fillId="23" borderId="0" xfId="0" applyNumberFormat="1" applyFill="1"/>
    <xf numFmtId="167" fontId="0" fillId="23" borderId="0" xfId="0" applyNumberFormat="1" applyFill="1"/>
    <xf numFmtId="168" fontId="0" fillId="0" borderId="0" xfId="0" applyNumberFormat="1"/>
    <xf numFmtId="169" fontId="0" fillId="0" borderId="0" xfId="0" applyNumberFormat="1"/>
    <xf numFmtId="9" fontId="5" fillId="0" borderId="2" xfId="0" applyNumberFormat="1" applyFont="1" applyBorder="1" applyAlignment="1">
      <alignment horizontal="right" wrapText="1"/>
    </xf>
    <xf numFmtId="9" fontId="0" fillId="0" borderId="19" xfId="0" applyNumberFormat="1" applyBorder="1" applyAlignment="1">
      <alignment vertical="center"/>
    </xf>
    <xf numFmtId="9" fontId="0" fillId="0" borderId="0" xfId="1" applyFont="1"/>
    <xf numFmtId="0" fontId="0" fillId="0" borderId="0" xfId="0" applyAlignment="1">
      <alignment horizontal="center" vertical="center"/>
    </xf>
    <xf numFmtId="0" fontId="29" fillId="0" borderId="15" xfId="0" applyFont="1" applyBorder="1"/>
    <xf numFmtId="0" fontId="29" fillId="0" borderId="17" xfId="0" applyFont="1" applyBorder="1"/>
    <xf numFmtId="0" fontId="5" fillId="0" borderId="0" xfId="0" applyFont="1" applyAlignment="1">
      <alignment horizontal="left" wrapText="1"/>
    </xf>
    <xf numFmtId="0" fontId="5" fillId="24" borderId="2" xfId="0" applyFont="1" applyFill="1" applyBorder="1"/>
    <xf numFmtId="9" fontId="0" fillId="24" borderId="16" xfId="0" applyNumberFormat="1" applyFill="1" applyBorder="1" applyAlignment="1">
      <alignment horizontal="center" vertical="center"/>
    </xf>
    <xf numFmtId="0" fontId="5" fillId="24" borderId="0" xfId="0" applyFont="1" applyFill="1"/>
    <xf numFmtId="0" fontId="5" fillId="24" borderId="20" xfId="0" applyFont="1" applyFill="1" applyBorder="1"/>
    <xf numFmtId="0" fontId="0" fillId="24" borderId="21" xfId="0" applyFill="1" applyBorder="1" applyAlignment="1">
      <alignment horizontal="center" vertical="center"/>
    </xf>
    <xf numFmtId="0" fontId="0" fillId="24" borderId="16" xfId="0" applyFill="1" applyBorder="1" applyAlignment="1">
      <alignment horizontal="center" vertical="center"/>
    </xf>
    <xf numFmtId="0" fontId="0" fillId="24" borderId="18" xfId="0" applyFill="1" applyBorder="1" applyAlignment="1">
      <alignment horizontal="center" vertical="center"/>
    </xf>
    <xf numFmtId="1" fontId="0" fillId="24" borderId="18" xfId="0" applyNumberFormat="1" applyFill="1" applyBorder="1" applyAlignment="1">
      <alignment horizontal="center" vertical="center"/>
    </xf>
    <xf numFmtId="9" fontId="0" fillId="8" borderId="0" xfId="0" applyNumberFormat="1" applyFill="1" applyAlignment="1">
      <alignment horizontal="center"/>
    </xf>
    <xf numFmtId="10" fontId="0" fillId="10" borderId="0" xfId="1" applyNumberFormat="1" applyFont="1" applyFill="1" applyBorder="1"/>
    <xf numFmtId="10" fontId="0" fillId="10" borderId="15" xfId="1" applyNumberFormat="1" applyFont="1" applyFill="1" applyBorder="1"/>
    <xf numFmtId="10" fontId="0" fillId="10" borderId="16" xfId="1" applyNumberFormat="1" applyFont="1" applyFill="1" applyBorder="1"/>
    <xf numFmtId="10" fontId="0" fillId="10" borderId="17" xfId="1" applyNumberFormat="1" applyFont="1" applyFill="1" applyBorder="1"/>
    <xf numFmtId="10" fontId="0" fillId="10" borderId="18" xfId="1" applyNumberFormat="1" applyFont="1" applyFill="1" applyBorder="1"/>
    <xf numFmtId="10" fontId="0" fillId="10" borderId="19" xfId="1" applyNumberFormat="1" applyFont="1" applyFill="1" applyBorder="1"/>
    <xf numFmtId="10" fontId="0" fillId="10" borderId="21" xfId="1" applyNumberFormat="1" applyFont="1" applyFill="1" applyBorder="1"/>
    <xf numFmtId="0" fontId="0" fillId="25" borderId="0" xfId="0" applyFill="1" applyAlignment="1">
      <alignment horizontal="center"/>
    </xf>
    <xf numFmtId="164" fontId="0" fillId="25" borderId="0" xfId="0" applyNumberFormat="1" applyFill="1"/>
    <xf numFmtId="164" fontId="0" fillId="8" borderId="48" xfId="1" applyNumberFormat="1" applyFont="1" applyFill="1" applyBorder="1"/>
    <xf numFmtId="0" fontId="0" fillId="26" borderId="0" xfId="0" applyFill="1"/>
    <xf numFmtId="0" fontId="0" fillId="26" borderId="0" xfId="0" applyFill="1" applyAlignment="1">
      <alignment wrapText="1"/>
    </xf>
    <xf numFmtId="10" fontId="0" fillId="26" borderId="0" xfId="0" applyNumberFormat="1" applyFill="1"/>
    <xf numFmtId="0" fontId="0" fillId="8" borderId="0" xfId="0" applyFill="1" applyAlignment="1">
      <alignment wrapText="1"/>
    </xf>
    <xf numFmtId="2" fontId="0" fillId="21" borderId="0" xfId="1" applyNumberFormat="1" applyFont="1" applyFill="1"/>
    <xf numFmtId="2" fontId="0" fillId="22" borderId="0" xfId="1" applyNumberFormat="1" applyFont="1" applyFill="1"/>
    <xf numFmtId="10" fontId="0" fillId="10" borderId="2" xfId="1" applyNumberFormat="1" applyFont="1" applyFill="1" applyBorder="1"/>
    <xf numFmtId="10" fontId="0" fillId="10" borderId="20" xfId="1" applyNumberFormat="1" applyFont="1" applyFill="1" applyBorder="1"/>
    <xf numFmtId="0" fontId="0" fillId="27" borderId="31" xfId="0" applyFill="1" applyBorder="1" applyAlignment="1">
      <alignment horizontal="center" wrapText="1"/>
    </xf>
    <xf numFmtId="10" fontId="0" fillId="27" borderId="32" xfId="0" applyNumberFormat="1" applyFill="1" applyBorder="1"/>
    <xf numFmtId="0" fontId="0" fillId="27" borderId="32" xfId="0" applyFill="1" applyBorder="1"/>
    <xf numFmtId="10" fontId="0" fillId="27" borderId="32" xfId="1" applyNumberFormat="1" applyFont="1" applyFill="1" applyBorder="1"/>
    <xf numFmtId="10" fontId="0" fillId="27" borderId="33" xfId="1" applyNumberFormat="1" applyFont="1" applyFill="1" applyBorder="1"/>
    <xf numFmtId="0" fontId="0" fillId="24" borderId="18" xfId="0" applyFill="1" applyBorder="1" applyAlignment="1">
      <alignment horizontal="center"/>
    </xf>
    <xf numFmtId="9" fontId="0" fillId="24" borderId="18" xfId="0" applyNumberFormat="1" applyFill="1" applyBorder="1" applyAlignment="1">
      <alignment horizontal="center"/>
    </xf>
    <xf numFmtId="9" fontId="0" fillId="8" borderId="0" xfId="1" applyFont="1" applyFill="1"/>
    <xf numFmtId="164" fontId="0" fillId="0" borderId="0" xfId="0" applyNumberFormat="1" applyAlignment="1">
      <alignment horizontal="left"/>
    </xf>
    <xf numFmtId="0" fontId="27" fillId="0" borderId="0" xfId="0" applyFont="1"/>
    <xf numFmtId="0" fontId="0" fillId="0" borderId="0" xfId="1" applyNumberFormat="1" applyFont="1" applyAlignment="1"/>
    <xf numFmtId="0" fontId="38" fillId="0" borderId="0" xfId="0" applyFont="1"/>
    <xf numFmtId="9" fontId="0" fillId="0" borderId="0" xfId="1" applyFont="1" applyFill="1"/>
    <xf numFmtId="0" fontId="39" fillId="0" borderId="0" xfId="0" applyFont="1"/>
    <xf numFmtId="0" fontId="0" fillId="0" borderId="0" xfId="0" applyProtection="1">
      <protection locked="0"/>
    </xf>
    <xf numFmtId="9" fontId="0" fillId="0" borderId="0" xfId="1" applyFont="1" applyProtection="1">
      <protection locked="0"/>
    </xf>
    <xf numFmtId="1" fontId="0" fillId="0" borderId="0" xfId="1" applyNumberFormat="1" applyFont="1" applyProtection="1">
      <protection locked="0"/>
    </xf>
    <xf numFmtId="0" fontId="3" fillId="0" borderId="15" xfId="0" applyFont="1" applyBorder="1" applyAlignment="1">
      <alignment horizontal="center"/>
    </xf>
    <xf numFmtId="164" fontId="0" fillId="24" borderId="18" xfId="0" applyNumberFormat="1" applyFill="1" applyBorder="1" applyAlignment="1">
      <alignment horizontal="center"/>
    </xf>
    <xf numFmtId="0" fontId="6" fillId="0" borderId="0" xfId="0" applyFont="1"/>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6" fillId="0" borderId="9" xfId="0" applyFont="1" applyBorder="1" applyAlignment="1">
      <alignment wrapText="1"/>
    </xf>
    <xf numFmtId="0" fontId="6" fillId="0" borderId="54" xfId="0" applyFont="1" applyBorder="1" applyAlignment="1">
      <alignment wrapText="1"/>
    </xf>
    <xf numFmtId="0" fontId="6" fillId="0" borderId="55" xfId="0" applyFont="1" applyBorder="1" applyAlignment="1">
      <alignment wrapText="1"/>
    </xf>
    <xf numFmtId="0" fontId="41" fillId="0" borderId="0" xfId="0" applyFont="1" applyAlignment="1">
      <alignment vertical="center" readingOrder="1"/>
    </xf>
    <xf numFmtId="0" fontId="30" fillId="0" borderId="25" xfId="0" applyFont="1" applyBorder="1" applyAlignment="1">
      <alignment horizontal="center" vertical="center"/>
    </xf>
    <xf numFmtId="0" fontId="30" fillId="0" borderId="1" xfId="0" applyFont="1" applyBorder="1" applyAlignment="1">
      <alignment horizontal="center"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0" fillId="0" borderId="0" xfId="0" applyAlignment="1">
      <alignment horizontal="justify" vertical="top" wrapText="1"/>
    </xf>
    <xf numFmtId="0" fontId="38" fillId="8" borderId="1" xfId="0" applyFont="1" applyFill="1" applyBorder="1" applyAlignment="1">
      <alignment vertical="center" wrapText="1"/>
    </xf>
    <xf numFmtId="0" fontId="27" fillId="8" borderId="47" xfId="0" applyFont="1" applyFill="1" applyBorder="1" applyAlignment="1">
      <alignment vertical="center" wrapText="1"/>
    </xf>
    <xf numFmtId="0" fontId="27" fillId="8" borderId="47" xfId="0" applyFont="1" applyFill="1" applyBorder="1" applyAlignment="1">
      <alignment wrapText="1"/>
    </xf>
    <xf numFmtId="0" fontId="38" fillId="8" borderId="25" xfId="0" applyFont="1" applyFill="1" applyBorder="1" applyAlignment="1">
      <alignment vertical="center" wrapText="1"/>
    </xf>
    <xf numFmtId="0" fontId="38" fillId="8" borderId="26" xfId="0" applyFont="1" applyFill="1" applyBorder="1" applyAlignment="1">
      <alignment vertical="center" wrapText="1"/>
    </xf>
    <xf numFmtId="0" fontId="38" fillId="8" borderId="47" xfId="0" applyFont="1" applyFill="1" applyBorder="1" applyAlignment="1">
      <alignment vertical="center" wrapText="1"/>
    </xf>
    <xf numFmtId="0" fontId="6" fillId="21" borderId="25" xfId="0" applyFont="1" applyFill="1" applyBorder="1" applyAlignment="1">
      <alignment horizontal="left" vertical="center" wrapText="1"/>
    </xf>
    <xf numFmtId="0" fontId="6" fillId="21" borderId="1" xfId="0" applyFont="1" applyFill="1" applyBorder="1" applyAlignment="1">
      <alignment vertical="center" wrapText="1"/>
    </xf>
    <xf numFmtId="0" fontId="6" fillId="21" borderId="47" xfId="0" applyFont="1" applyFill="1" applyBorder="1" applyAlignment="1">
      <alignment vertical="center" wrapText="1"/>
    </xf>
    <xf numFmtId="0" fontId="6" fillId="21" borderId="1" xfId="0" applyFont="1" applyFill="1" applyBorder="1" applyAlignment="1">
      <alignment horizontal="left" vertical="center" wrapText="1"/>
    </xf>
    <xf numFmtId="0" fontId="6" fillId="21" borderId="47" xfId="0" applyFont="1" applyFill="1" applyBorder="1" applyAlignment="1">
      <alignment horizontal="left" vertical="center" wrapText="1"/>
    </xf>
    <xf numFmtId="0" fontId="6" fillId="21" borderId="27" xfId="0" applyFont="1" applyFill="1" applyBorder="1" applyAlignment="1">
      <alignment vertical="center" wrapText="1"/>
    </xf>
    <xf numFmtId="0" fontId="6" fillId="21" borderId="28" xfId="0" applyFont="1" applyFill="1" applyBorder="1" applyAlignment="1">
      <alignment vertical="center" wrapText="1"/>
    </xf>
    <xf numFmtId="0" fontId="6" fillId="21" borderId="28" xfId="0" applyFont="1" applyFill="1" applyBorder="1" applyAlignment="1">
      <alignment horizontal="left" vertical="center" wrapText="1"/>
    </xf>
    <xf numFmtId="0" fontId="6" fillId="21" borderId="59" xfId="0" applyFont="1" applyFill="1" applyBorder="1" applyAlignment="1">
      <alignment vertical="center" wrapText="1"/>
    </xf>
    <xf numFmtId="0" fontId="6" fillId="9" borderId="50" xfId="0" applyFont="1" applyFill="1" applyBorder="1" applyAlignment="1">
      <alignment vertical="center" wrapText="1"/>
    </xf>
    <xf numFmtId="0" fontId="6" fillId="9" borderId="50" xfId="0" applyFont="1" applyFill="1" applyBorder="1" applyAlignment="1">
      <alignment horizontal="left" vertical="center" wrapText="1"/>
    </xf>
    <xf numFmtId="0" fontId="6" fillId="9" borderId="62" xfId="0" applyFont="1" applyFill="1" applyBorder="1" applyAlignment="1">
      <alignment horizontal="left" vertical="center" wrapText="1"/>
    </xf>
    <xf numFmtId="0" fontId="6" fillId="10" borderId="1" xfId="0" applyFont="1" applyFill="1" applyBorder="1" applyAlignment="1">
      <alignment vertical="center" wrapText="1"/>
    </xf>
    <xf numFmtId="0" fontId="6" fillId="10" borderId="1" xfId="0" applyFont="1" applyFill="1" applyBorder="1" applyAlignment="1">
      <alignment horizontal="left" vertical="center" wrapText="1"/>
    </xf>
    <xf numFmtId="0" fontId="36" fillId="28" borderId="15" xfId="0" applyFont="1" applyFill="1" applyBorder="1" applyAlignment="1">
      <alignment horizontal="center"/>
    </xf>
    <xf numFmtId="0" fontId="38" fillId="8" borderId="50" xfId="0" applyFont="1" applyFill="1" applyBorder="1" applyAlignment="1">
      <alignment vertical="center" wrapText="1"/>
    </xf>
    <xf numFmtId="0" fontId="6" fillId="10" borderId="25" xfId="0" applyFont="1" applyFill="1" applyBorder="1" applyAlignment="1">
      <alignment vertical="center" wrapText="1"/>
    </xf>
    <xf numFmtId="0" fontId="6" fillId="10" borderId="26" xfId="0" applyFont="1" applyFill="1" applyBorder="1" applyAlignment="1">
      <alignment vertical="center" wrapText="1"/>
    </xf>
    <xf numFmtId="0" fontId="6" fillId="10" borderId="25" xfId="0" applyFont="1" applyFill="1" applyBorder="1" applyAlignment="1">
      <alignment horizontal="left" vertical="center" wrapText="1"/>
    </xf>
    <xf numFmtId="0" fontId="6" fillId="10" borderId="26" xfId="0" applyFont="1" applyFill="1" applyBorder="1" applyAlignment="1">
      <alignment horizontal="left" vertical="center" wrapText="1"/>
    </xf>
    <xf numFmtId="0" fontId="6" fillId="10" borderId="27" xfId="0" applyFont="1" applyFill="1" applyBorder="1" applyAlignment="1">
      <alignment vertical="center" wrapText="1"/>
    </xf>
    <xf numFmtId="0" fontId="6" fillId="10" borderId="28" xfId="0" applyFont="1" applyFill="1" applyBorder="1" applyAlignment="1">
      <alignment vertical="center" wrapText="1"/>
    </xf>
    <xf numFmtId="0" fontId="6" fillId="10" borderId="29" xfId="0" applyFont="1" applyFill="1" applyBorder="1" applyAlignment="1">
      <alignment vertical="center" wrapText="1"/>
    </xf>
    <xf numFmtId="0" fontId="30" fillId="0" borderId="0" xfId="0" applyFont="1" applyAlignment="1">
      <alignment horizontal="center" vertical="center"/>
    </xf>
    <xf numFmtId="0" fontId="50" fillId="0" borderId="0" xfId="0" applyFont="1"/>
    <xf numFmtId="0" fontId="51" fillId="0" borderId="0" xfId="0" applyFont="1"/>
    <xf numFmtId="0" fontId="7" fillId="0" borderId="0" xfId="0" applyFont="1" applyAlignment="1">
      <alignment vertical="center" wrapText="1"/>
    </xf>
    <xf numFmtId="0" fontId="52" fillId="0" borderId="0" xfId="0" applyFont="1" applyAlignment="1">
      <alignment horizontal="center"/>
    </xf>
    <xf numFmtId="0" fontId="53" fillId="0" borderId="0" xfId="0" applyFont="1"/>
    <xf numFmtId="0" fontId="53" fillId="0" borderId="0" xfId="0" applyFont="1" applyAlignment="1">
      <alignment wrapText="1"/>
    </xf>
    <xf numFmtId="0" fontId="30" fillId="0" borderId="49" xfId="0" applyFont="1" applyBorder="1" applyAlignment="1">
      <alignment horizontal="center" vertical="center"/>
    </xf>
    <xf numFmtId="0" fontId="6" fillId="0" borderId="1" xfId="0" applyFont="1" applyBorder="1"/>
    <xf numFmtId="0" fontId="6" fillId="0" borderId="22" xfId="0" applyFont="1" applyBorder="1" applyAlignment="1">
      <alignment horizontal="left" wrapText="1"/>
    </xf>
    <xf numFmtId="0" fontId="6" fillId="0" borderId="23" xfId="0" applyFont="1" applyBorder="1" applyAlignment="1">
      <alignment wrapText="1"/>
    </xf>
    <xf numFmtId="0" fontId="6" fillId="0" borderId="40" xfId="0" applyFont="1" applyBorder="1" applyAlignment="1">
      <alignment wrapText="1"/>
    </xf>
    <xf numFmtId="0" fontId="6" fillId="0" borderId="41" xfId="0" applyFont="1" applyBorder="1" applyAlignment="1">
      <alignment wrapText="1"/>
    </xf>
    <xf numFmtId="0" fontId="6" fillId="0" borderId="39" xfId="0" applyFont="1" applyBorder="1" applyAlignment="1">
      <alignment wrapText="1"/>
    </xf>
    <xf numFmtId="0" fontId="30" fillId="0" borderId="60" xfId="0" applyFont="1" applyBorder="1" applyAlignment="1">
      <alignment horizontal="center" vertical="center"/>
    </xf>
    <xf numFmtId="0" fontId="0" fillId="0" borderId="25" xfId="0" applyBorder="1"/>
    <xf numFmtId="0" fontId="0" fillId="0" borderId="27" xfId="0" applyBorder="1"/>
    <xf numFmtId="0" fontId="6" fillId="0" borderId="28" xfId="0" applyFont="1" applyBorder="1"/>
    <xf numFmtId="0" fontId="30" fillId="0" borderId="67" xfId="0" applyFont="1" applyBorder="1" applyAlignment="1">
      <alignment horizontal="center" vertical="center"/>
    </xf>
    <xf numFmtId="0" fontId="30" fillId="0" borderId="61" xfId="0" applyFont="1" applyBorder="1" applyAlignment="1">
      <alignment horizontal="center" vertical="center"/>
    </xf>
    <xf numFmtId="0" fontId="6" fillId="0" borderId="36" xfId="0" applyFont="1" applyBorder="1" applyAlignment="1">
      <alignment wrapText="1"/>
    </xf>
    <xf numFmtId="0" fontId="6" fillId="0" borderId="47" xfId="0" applyFont="1" applyBorder="1"/>
    <xf numFmtId="0" fontId="6" fillId="0" borderId="59" xfId="0" applyFont="1" applyBorder="1"/>
    <xf numFmtId="0" fontId="30" fillId="0" borderId="25"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30" fillId="0" borderId="26" xfId="0" applyFont="1" applyBorder="1" applyAlignment="1" applyProtection="1">
      <alignment horizontal="center" vertical="center"/>
      <protection locked="0"/>
    </xf>
    <xf numFmtId="0" fontId="30" fillId="0" borderId="49" xfId="0" applyFont="1" applyBorder="1" applyAlignment="1" applyProtection="1">
      <alignment horizontal="center" vertical="center"/>
      <protection locked="0"/>
    </xf>
    <xf numFmtId="0" fontId="27" fillId="0" borderId="1" xfId="0" applyFont="1" applyBorder="1" applyAlignment="1">
      <alignment wrapText="1"/>
    </xf>
    <xf numFmtId="0" fontId="7" fillId="0" borderId="1" xfId="0" applyFont="1" applyBorder="1" applyAlignment="1">
      <alignment vertical="center" wrapText="1"/>
    </xf>
    <xf numFmtId="0" fontId="6" fillId="0" borderId="1" xfId="0" applyFont="1" applyBorder="1" applyAlignment="1">
      <alignment horizontal="center" vertical="center" wrapText="1"/>
    </xf>
    <xf numFmtId="0" fontId="57" fillId="0" borderId="0" xfId="0" applyFont="1"/>
    <xf numFmtId="0" fontId="58" fillId="0" borderId="0" xfId="0" applyFont="1"/>
    <xf numFmtId="164" fontId="27" fillId="0" borderId="0" xfId="0" applyNumberFormat="1" applyFont="1" applyAlignment="1">
      <alignment horizontal="center"/>
    </xf>
    <xf numFmtId="0" fontId="0" fillId="0" borderId="65" xfId="0" applyBorder="1"/>
    <xf numFmtId="0" fontId="59" fillId="0" borderId="0" xfId="0" applyFont="1" applyAlignment="1">
      <alignment horizontal="center" wrapText="1"/>
    </xf>
    <xf numFmtId="0" fontId="50" fillId="0" borderId="0" xfId="0" applyFont="1" applyAlignment="1">
      <alignment horizontal="center" vertical="center"/>
    </xf>
    <xf numFmtId="9" fontId="0" fillId="10" borderId="17" xfId="1" applyFont="1" applyFill="1" applyBorder="1"/>
    <xf numFmtId="9" fontId="0" fillId="10" borderId="0" xfId="1" applyFont="1" applyFill="1" applyBorder="1"/>
    <xf numFmtId="9" fontId="0" fillId="10" borderId="18" xfId="1" applyFont="1" applyFill="1" applyBorder="1"/>
    <xf numFmtId="0" fontId="55" fillId="0" borderId="0" xfId="0" applyFont="1"/>
    <xf numFmtId="0" fontId="5" fillId="30" borderId="0" xfId="0" applyFont="1" applyFill="1" applyAlignment="1">
      <alignment horizontal="center" wrapText="1"/>
    </xf>
    <xf numFmtId="0" fontId="0" fillId="10" borderId="56" xfId="0" applyFill="1" applyBorder="1"/>
    <xf numFmtId="0" fontId="0" fillId="10" borderId="57" xfId="0" applyFill="1" applyBorder="1"/>
    <xf numFmtId="0" fontId="0" fillId="10" borderId="39" xfId="0" applyFill="1" applyBorder="1"/>
    <xf numFmtId="0" fontId="0" fillId="10" borderId="34" xfId="0" applyFill="1" applyBorder="1"/>
    <xf numFmtId="0" fontId="0" fillId="10" borderId="47" xfId="0" applyFill="1" applyBorder="1"/>
    <xf numFmtId="0" fontId="0" fillId="10" borderId="9" xfId="0" applyFill="1" applyBorder="1" applyAlignment="1">
      <alignment horizontal="center" wrapText="1"/>
    </xf>
    <xf numFmtId="0" fontId="0" fillId="10" borderId="64" xfId="0" applyFill="1" applyBorder="1"/>
    <xf numFmtId="0" fontId="0" fillId="10" borderId="65" xfId="0" applyFill="1" applyBorder="1"/>
    <xf numFmtId="0" fontId="0" fillId="10" borderId="68" xfId="0" applyFill="1" applyBorder="1"/>
    <xf numFmtId="0" fontId="0" fillId="10" borderId="69" xfId="0" applyFill="1" applyBorder="1"/>
    <xf numFmtId="0" fontId="0" fillId="10" borderId="52" xfId="0" applyFill="1" applyBorder="1"/>
    <xf numFmtId="0" fontId="0" fillId="10" borderId="35" xfId="0" applyFill="1" applyBorder="1"/>
    <xf numFmtId="0" fontId="0" fillId="10" borderId="36" xfId="0" applyFill="1" applyBorder="1"/>
    <xf numFmtId="9" fontId="0" fillId="10" borderId="24" xfId="0" applyNumberFormat="1" applyFill="1" applyBorder="1"/>
    <xf numFmtId="9" fontId="0" fillId="10" borderId="26" xfId="0" applyNumberFormat="1" applyFill="1" applyBorder="1"/>
    <xf numFmtId="0" fontId="0" fillId="10" borderId="70" xfId="0" applyFill="1" applyBorder="1"/>
    <xf numFmtId="0" fontId="0" fillId="10" borderId="59" xfId="0" applyFill="1" applyBorder="1"/>
    <xf numFmtId="9" fontId="0" fillId="10" borderId="29" xfId="0" applyNumberFormat="1" applyFill="1" applyBorder="1"/>
    <xf numFmtId="0" fontId="0" fillId="10" borderId="53" xfId="0" applyFill="1" applyBorder="1"/>
    <xf numFmtId="9" fontId="0" fillId="10" borderId="52" xfId="0" applyNumberFormat="1" applyFill="1" applyBorder="1"/>
    <xf numFmtId="0" fontId="34" fillId="30" borderId="52" xfId="0" applyFont="1" applyFill="1" applyBorder="1" applyProtection="1">
      <protection locked="0"/>
    </xf>
    <xf numFmtId="9" fontId="34" fillId="30" borderId="23" xfId="1" applyFont="1" applyFill="1" applyBorder="1" applyProtection="1">
      <protection locked="0"/>
    </xf>
    <xf numFmtId="9" fontId="34" fillId="30" borderId="1" xfId="1" applyFont="1" applyFill="1" applyBorder="1" applyProtection="1">
      <protection locked="0"/>
    </xf>
    <xf numFmtId="9" fontId="34" fillId="30" borderId="28" xfId="1" applyFont="1" applyFill="1" applyBorder="1" applyProtection="1">
      <protection locked="0"/>
    </xf>
    <xf numFmtId="9" fontId="34" fillId="30" borderId="52" xfId="1" applyFont="1" applyFill="1" applyBorder="1" applyProtection="1">
      <protection locked="0"/>
    </xf>
    <xf numFmtId="0" fontId="0" fillId="30" borderId="30" xfId="0" applyFill="1" applyBorder="1" applyAlignment="1" applyProtection="1">
      <alignment horizontal="center"/>
      <protection locked="0"/>
    </xf>
    <xf numFmtId="0" fontId="61" fillId="29" borderId="0" xfId="0" applyFont="1" applyFill="1" applyAlignment="1">
      <alignment wrapText="1"/>
    </xf>
    <xf numFmtId="0" fontId="48" fillId="0" borderId="0" xfId="0" applyFont="1" applyAlignment="1">
      <alignment horizontal="center"/>
    </xf>
    <xf numFmtId="0" fontId="61" fillId="0" borderId="0" xfId="0" applyFont="1" applyAlignment="1">
      <alignment wrapText="1"/>
    </xf>
    <xf numFmtId="9" fontId="30" fillId="30" borderId="30" xfId="0" applyNumberFormat="1" applyFont="1" applyFill="1" applyBorder="1" applyAlignment="1" applyProtection="1">
      <alignment horizontal="center"/>
      <protection locked="0"/>
    </xf>
    <xf numFmtId="0" fontId="30" fillId="30" borderId="30" xfId="0" applyFont="1" applyFill="1" applyBorder="1" applyAlignment="1" applyProtection="1">
      <alignment horizontal="center"/>
      <protection locked="0"/>
    </xf>
    <xf numFmtId="9" fontId="30" fillId="30" borderId="30" xfId="0" applyNumberFormat="1" applyFont="1" applyFill="1" applyBorder="1" applyAlignment="1" applyProtection="1">
      <alignment horizontal="center" vertical="top"/>
      <protection locked="0"/>
    </xf>
    <xf numFmtId="0" fontId="60" fillId="0" borderId="0" xfId="0" applyFont="1" applyAlignment="1">
      <alignment wrapText="1"/>
    </xf>
    <xf numFmtId="0" fontId="37" fillId="30" borderId="17" xfId="0" applyFont="1" applyFill="1" applyBorder="1" applyAlignment="1">
      <alignment horizontal="right" vertical="center"/>
    </xf>
    <xf numFmtId="0" fontId="0" fillId="30" borderId="0" xfId="0" applyFill="1"/>
    <xf numFmtId="0" fontId="37" fillId="30" borderId="0" xfId="0" applyFont="1" applyFill="1" applyAlignment="1">
      <alignment vertical="center"/>
    </xf>
    <xf numFmtId="0" fontId="0" fillId="30" borderId="25" xfId="0" applyFill="1" applyBorder="1" applyProtection="1">
      <protection locked="0"/>
    </xf>
    <xf numFmtId="0" fontId="30" fillId="30" borderId="47" xfId="0" applyFont="1" applyFill="1" applyBorder="1" applyProtection="1">
      <protection locked="0"/>
    </xf>
    <xf numFmtId="0" fontId="6" fillId="30" borderId="47" xfId="0" applyFont="1" applyFill="1" applyBorder="1" applyProtection="1">
      <protection locked="0"/>
    </xf>
    <xf numFmtId="0" fontId="35" fillId="30" borderId="47" xfId="0" applyFont="1" applyFill="1" applyBorder="1" applyProtection="1">
      <protection locked="0"/>
    </xf>
    <xf numFmtId="0" fontId="27" fillId="30" borderId="30" xfId="0" applyFont="1" applyFill="1" applyBorder="1" applyProtection="1">
      <protection locked="0"/>
    </xf>
    <xf numFmtId="0" fontId="55" fillId="0" borderId="0" xfId="0" applyFont="1" applyAlignment="1">
      <alignment vertical="center" wrapText="1"/>
    </xf>
    <xf numFmtId="9" fontId="30" fillId="31" borderId="30" xfId="0" applyNumberFormat="1" applyFont="1" applyFill="1" applyBorder="1" applyAlignment="1">
      <alignment horizontal="center"/>
    </xf>
    <xf numFmtId="9" fontId="30" fillId="31" borderId="30" xfId="0" applyNumberFormat="1" applyFont="1" applyFill="1" applyBorder="1" applyAlignment="1">
      <alignment horizontal="center" vertical="top"/>
    </xf>
    <xf numFmtId="0" fontId="0" fillId="31" borderId="30" xfId="0" applyFill="1" applyBorder="1" applyAlignment="1">
      <alignment horizontal="center"/>
    </xf>
    <xf numFmtId="0" fontId="0" fillId="30" borderId="30" xfId="0" applyFill="1" applyBorder="1" applyProtection="1">
      <protection locked="0"/>
    </xf>
    <xf numFmtId="0" fontId="0" fillId="30" borderId="66" xfId="0" applyFill="1" applyBorder="1" applyProtection="1">
      <protection locked="0"/>
    </xf>
    <xf numFmtId="0" fontId="63" fillId="0" borderId="0" xfId="0" applyFont="1"/>
    <xf numFmtId="0" fontId="49" fillId="0" borderId="0" xfId="0" applyFont="1" applyAlignment="1">
      <alignment horizontal="center" vertical="center"/>
    </xf>
    <xf numFmtId="169" fontId="0" fillId="0" borderId="18" xfId="0" applyNumberFormat="1" applyBorder="1"/>
    <xf numFmtId="9" fontId="0" fillId="0" borderId="0" xfId="0" applyNumberFormat="1" applyAlignment="1">
      <alignment horizontal="center"/>
    </xf>
    <xf numFmtId="10" fontId="0" fillId="0" borderId="0" xfId="1" applyNumberFormat="1" applyFont="1" applyFill="1" applyBorder="1"/>
    <xf numFmtId="0" fontId="0" fillId="24" borderId="25" xfId="0" applyFill="1" applyBorder="1" applyAlignment="1">
      <alignment horizontal="center"/>
    </xf>
    <xf numFmtId="0" fontId="0" fillId="24" borderId="27" xfId="0" applyFill="1" applyBorder="1" applyAlignment="1">
      <alignment horizontal="center"/>
    </xf>
    <xf numFmtId="164" fontId="5" fillId="0" borderId="1" xfId="0" applyNumberFormat="1" applyFont="1" applyBorder="1"/>
    <xf numFmtId="164" fontId="5" fillId="0" borderId="25" xfId="0" applyNumberFormat="1" applyFont="1" applyBorder="1"/>
    <xf numFmtId="164" fontId="5" fillId="0" borderId="26" xfId="0" applyNumberFormat="1" applyFont="1" applyBorder="1"/>
    <xf numFmtId="9" fontId="5" fillId="0" borderId="1" xfId="0" applyNumberFormat="1" applyFont="1" applyBorder="1"/>
    <xf numFmtId="9" fontId="5" fillId="0" borderId="25" xfId="0" applyNumberFormat="1" applyFont="1" applyBorder="1"/>
    <xf numFmtId="9" fontId="5" fillId="0" borderId="26" xfId="0" applyNumberFormat="1" applyFont="1" applyBorder="1"/>
    <xf numFmtId="0" fontId="0" fillId="0" borderId="2" xfId="0" applyBorder="1" applyAlignment="1">
      <alignment wrapText="1"/>
    </xf>
    <xf numFmtId="0" fontId="0" fillId="15" borderId="2" xfId="0" applyFill="1" applyBorder="1" applyAlignment="1">
      <alignment wrapText="1"/>
    </xf>
    <xf numFmtId="10" fontId="0" fillId="0" borderId="2" xfId="0" applyNumberFormat="1" applyBorder="1" applyAlignment="1">
      <alignment wrapText="1"/>
    </xf>
    <xf numFmtId="0" fontId="0" fillId="12" borderId="2" xfId="0" applyFill="1" applyBorder="1" applyAlignment="1">
      <alignment wrapText="1"/>
    </xf>
    <xf numFmtId="0" fontId="0" fillId="11" borderId="2" xfId="0" applyFill="1" applyBorder="1" applyAlignment="1">
      <alignment wrapText="1"/>
    </xf>
    <xf numFmtId="0" fontId="0" fillId="11" borderId="16" xfId="0" applyFill="1" applyBorder="1" applyAlignment="1">
      <alignment wrapText="1"/>
    </xf>
    <xf numFmtId="0" fontId="0" fillId="11" borderId="16" xfId="0" quotePrefix="1" applyFill="1" applyBorder="1" applyAlignment="1">
      <alignment wrapText="1"/>
    </xf>
    <xf numFmtId="0" fontId="65" fillId="0" borderId="0" xfId="0" applyFont="1" applyAlignment="1">
      <alignment vertical="top" readingOrder="1"/>
    </xf>
    <xf numFmtId="0" fontId="66" fillId="0" borderId="0" xfId="0" applyFont="1" applyAlignment="1">
      <alignment vertical="top" wrapText="1" readingOrder="1"/>
    </xf>
    <xf numFmtId="0" fontId="65" fillId="8" borderId="0" xfId="0" applyFont="1" applyFill="1" applyAlignment="1">
      <alignment vertical="top" readingOrder="1"/>
    </xf>
    <xf numFmtId="0" fontId="68" fillId="8" borderId="0" xfId="2" applyFont="1" applyFill="1" applyAlignment="1">
      <alignment vertical="top" readingOrder="1"/>
    </xf>
    <xf numFmtId="0" fontId="3" fillId="33" borderId="0" xfId="0" applyFont="1" applyFill="1"/>
    <xf numFmtId="0" fontId="3" fillId="32" borderId="0" xfId="0" applyFont="1" applyFill="1" applyAlignment="1">
      <alignment horizontal="left"/>
    </xf>
    <xf numFmtId="0" fontId="66" fillId="6" borderId="0" xfId="0" applyFont="1" applyFill="1" applyAlignment="1">
      <alignment horizontal="left" vertical="top" wrapText="1" readingOrder="1"/>
    </xf>
    <xf numFmtId="0" fontId="0" fillId="0" borderId="0" xfId="0" applyAlignment="1">
      <alignment horizontal="center"/>
    </xf>
    <xf numFmtId="0" fontId="67" fillId="34" borderId="0" xfId="0" applyFont="1" applyFill="1" applyAlignment="1">
      <alignment horizontal="left" vertical="top" wrapText="1" readingOrder="1"/>
    </xf>
    <xf numFmtId="0" fontId="69" fillId="8" borderId="0" xfId="0" applyFont="1" applyFill="1" applyAlignment="1">
      <alignment horizontal="left" vertical="top" wrapText="1" readingOrder="1"/>
    </xf>
    <xf numFmtId="0" fontId="0" fillId="5" borderId="0" xfId="0" applyFill="1" applyAlignment="1">
      <alignment horizontal="left" wrapText="1"/>
    </xf>
    <xf numFmtId="0" fontId="5" fillId="15" borderId="0" xfId="0" applyFont="1" applyFill="1" applyAlignment="1">
      <alignment horizontal="center" wrapText="1"/>
    </xf>
    <xf numFmtId="0" fontId="29" fillId="8" borderId="0" xfId="0" applyFont="1" applyFill="1" applyAlignment="1">
      <alignment horizontal="center"/>
    </xf>
    <xf numFmtId="0" fontId="0" fillId="5" borderId="0" xfId="0" applyFill="1" applyAlignment="1">
      <alignment horizontal="left" vertical="top" wrapText="1"/>
    </xf>
    <xf numFmtId="0" fontId="0" fillId="5" borderId="18" xfId="0" applyFill="1" applyBorder="1" applyAlignment="1">
      <alignment horizontal="left" vertical="top" wrapText="1"/>
    </xf>
    <xf numFmtId="0" fontId="8" fillId="11" borderId="0" xfId="0" applyFont="1" applyFill="1" applyAlignment="1">
      <alignment horizontal="left"/>
    </xf>
    <xf numFmtId="0" fontId="0" fillId="11" borderId="0" xfId="0" applyFill="1" applyAlignment="1">
      <alignment horizontal="left" vertical="top" wrapText="1"/>
    </xf>
    <xf numFmtId="0" fontId="0" fillId="11" borderId="0" xfId="0" applyFill="1" applyAlignment="1">
      <alignment horizontal="left" wrapText="1"/>
    </xf>
    <xf numFmtId="0" fontId="8" fillId="12" borderId="0" xfId="0" applyFont="1" applyFill="1" applyAlignment="1">
      <alignment horizontal="left"/>
    </xf>
    <xf numFmtId="0" fontId="0" fillId="12" borderId="0" xfId="0" applyFill="1" applyAlignment="1">
      <alignment horizontal="left" wrapText="1"/>
    </xf>
    <xf numFmtId="0" fontId="23" fillId="8" borderId="0" xfId="0" applyFont="1" applyFill="1" applyAlignment="1">
      <alignment horizontal="center" wrapText="1"/>
    </xf>
    <xf numFmtId="0" fontId="33" fillId="8" borderId="0" xfId="0" applyFont="1" applyFill="1" applyAlignment="1">
      <alignment horizontal="left"/>
    </xf>
    <xf numFmtId="0" fontId="0" fillId="29" borderId="0" xfId="0" applyFill="1" applyAlignment="1">
      <alignment horizontal="left" wrapText="1"/>
    </xf>
    <xf numFmtId="0" fontId="61" fillId="30" borderId="0" xfId="0" applyFont="1" applyFill="1" applyAlignment="1">
      <alignment horizontal="center" vertical="center" wrapText="1"/>
    </xf>
    <xf numFmtId="0" fontId="61" fillId="0" borderId="0" xfId="0" applyFont="1" applyAlignment="1">
      <alignment horizontal="left" wrapText="1"/>
    </xf>
    <xf numFmtId="0" fontId="62" fillId="30" borderId="31" xfId="0" applyFont="1" applyFill="1" applyBorder="1" applyAlignment="1">
      <alignment horizontal="center" wrapText="1"/>
    </xf>
    <xf numFmtId="0" fontId="62" fillId="30" borderId="33" xfId="0" applyFont="1" applyFill="1" applyBorder="1" applyAlignment="1">
      <alignment horizontal="center" wrapText="1"/>
    </xf>
    <xf numFmtId="0" fontId="8" fillId="5" borderId="0" xfId="0" applyFont="1" applyFill="1" applyAlignment="1">
      <alignment horizontal="left"/>
    </xf>
    <xf numFmtId="0" fontId="61" fillId="30" borderId="0" xfId="0" applyFont="1" applyFill="1" applyAlignment="1">
      <alignment horizontal="right" wrapText="1"/>
    </xf>
    <xf numFmtId="0" fontId="61" fillId="0" borderId="0" xfId="0" applyFont="1" applyAlignment="1">
      <alignment horizontal="left" vertical="center" wrapText="1"/>
    </xf>
    <xf numFmtId="0" fontId="56" fillId="0" borderId="0" xfId="0" applyFont="1" applyAlignment="1">
      <alignment horizontal="left" vertical="center" wrapText="1"/>
    </xf>
    <xf numFmtId="0" fontId="55" fillId="0" borderId="0" xfId="0" applyFont="1" applyAlignment="1">
      <alignment horizontal="left" wrapText="1"/>
    </xf>
    <xf numFmtId="0" fontId="5" fillId="24" borderId="0" xfId="0" applyFont="1" applyFill="1" applyAlignment="1">
      <alignment horizontal="left" wrapText="1"/>
    </xf>
    <xf numFmtId="0" fontId="5" fillId="24" borderId="20" xfId="0" applyFont="1" applyFill="1" applyBorder="1" applyAlignment="1">
      <alignment horizontal="left" wrapText="1"/>
    </xf>
    <xf numFmtId="9" fontId="0" fillId="24" borderId="18" xfId="0" applyNumberFormat="1" applyFill="1" applyBorder="1" applyAlignment="1">
      <alignment horizontal="center" vertical="center"/>
    </xf>
    <xf numFmtId="9" fontId="0" fillId="24" borderId="21" xfId="0" applyNumberFormat="1" applyFill="1" applyBorder="1" applyAlignment="1">
      <alignment horizontal="center" vertical="center"/>
    </xf>
    <xf numFmtId="9" fontId="0" fillId="24" borderId="18" xfId="1" applyFont="1" applyFill="1" applyBorder="1" applyAlignment="1">
      <alignment horizontal="center" vertical="center"/>
    </xf>
    <xf numFmtId="9" fontId="0" fillId="24" borderId="21" xfId="1" applyFont="1" applyFill="1" applyBorder="1" applyAlignment="1">
      <alignment horizontal="center" vertical="center"/>
    </xf>
    <xf numFmtId="0" fontId="37" fillId="30" borderId="17" xfId="0" applyFont="1" applyFill="1" applyBorder="1" applyAlignment="1">
      <alignment horizontal="right" vertical="center"/>
    </xf>
    <xf numFmtId="0" fontId="37" fillId="30" borderId="0" xfId="0" applyFont="1" applyFill="1" applyAlignment="1">
      <alignment horizontal="left" vertical="center"/>
    </xf>
    <xf numFmtId="0" fontId="60" fillId="0" borderId="0" xfId="0" applyFont="1" applyAlignment="1">
      <alignment horizontal="left" vertical="center" wrapText="1"/>
    </xf>
    <xf numFmtId="0" fontId="6" fillId="15" borderId="0" xfId="0" applyFont="1" applyFill="1" applyAlignment="1">
      <alignment horizontal="center" wrapText="1"/>
    </xf>
    <xf numFmtId="0" fontId="0" fillId="11" borderId="0" xfId="0" applyFill="1" applyAlignment="1">
      <alignment wrapText="1"/>
    </xf>
    <xf numFmtId="164" fontId="0" fillId="24" borderId="47" xfId="0" applyNumberFormat="1" applyFill="1" applyBorder="1" applyAlignment="1">
      <alignment horizontal="center"/>
    </xf>
    <xf numFmtId="164" fontId="0" fillId="24" borderId="48" xfId="0" applyNumberFormat="1" applyFill="1" applyBorder="1" applyAlignment="1">
      <alignment horizontal="center"/>
    </xf>
    <xf numFmtId="164" fontId="0" fillId="24" borderId="51" xfId="0" applyNumberFormat="1" applyFill="1" applyBorder="1" applyAlignment="1">
      <alignment horizontal="center"/>
    </xf>
    <xf numFmtId="0" fontId="61" fillId="30" borderId="0" xfId="0" applyFont="1" applyFill="1" applyAlignment="1">
      <alignment horizontal="center" wrapText="1"/>
    </xf>
    <xf numFmtId="0" fontId="6" fillId="30" borderId="0" xfId="0" applyFont="1" applyFill="1" applyAlignment="1">
      <alignment horizontal="center" wrapText="1"/>
    </xf>
    <xf numFmtId="164" fontId="0" fillId="24" borderId="59" xfId="0" applyNumberFormat="1" applyFill="1" applyBorder="1" applyAlignment="1">
      <alignment horizontal="center"/>
    </xf>
    <xf numFmtId="164" fontId="0" fillId="24" borderId="71" xfId="0" applyNumberFormat="1" applyFill="1" applyBorder="1" applyAlignment="1">
      <alignment horizontal="center"/>
    </xf>
    <xf numFmtId="164" fontId="0" fillId="24" borderId="72" xfId="0" applyNumberFormat="1" applyFill="1" applyBorder="1" applyAlignment="1">
      <alignment horizontal="center"/>
    </xf>
    <xf numFmtId="0" fontId="0" fillId="24" borderId="23" xfId="0" applyFill="1" applyBorder="1" applyAlignment="1">
      <alignment horizontal="left" wrapText="1"/>
    </xf>
    <xf numFmtId="0" fontId="0" fillId="24" borderId="24" xfId="0" applyFill="1" applyBorder="1" applyAlignment="1">
      <alignment horizontal="left" wrapText="1"/>
    </xf>
    <xf numFmtId="0" fontId="0" fillId="24" borderId="1" xfId="0" applyFill="1" applyBorder="1" applyAlignment="1">
      <alignment horizontal="left" wrapText="1"/>
    </xf>
    <xf numFmtId="0" fontId="0" fillId="24" borderId="26" xfId="0" applyFill="1" applyBorder="1" applyAlignment="1">
      <alignment horizontal="left" wrapText="1"/>
    </xf>
    <xf numFmtId="0" fontId="0" fillId="24" borderId="22" xfId="0" applyFill="1" applyBorder="1" applyAlignment="1">
      <alignment horizontal="center"/>
    </xf>
    <xf numFmtId="0" fontId="0" fillId="24" borderId="25" xfId="0" applyFill="1" applyBorder="1" applyAlignment="1">
      <alignment horizontal="center"/>
    </xf>
    <xf numFmtId="0" fontId="0" fillId="0" borderId="0" xfId="0" applyAlignment="1">
      <alignment horizontal="left" vertical="top" wrapText="1"/>
    </xf>
    <xf numFmtId="0" fontId="55" fillId="0" borderId="0" xfId="0" applyFont="1" applyAlignment="1">
      <alignment horizontal="left" vertical="top" wrapText="1"/>
    </xf>
    <xf numFmtId="0" fontId="38" fillId="0" borderId="15" xfId="0" applyFont="1" applyBorder="1" applyAlignment="1">
      <alignment horizontal="center"/>
    </xf>
    <xf numFmtId="0" fontId="38" fillId="0" borderId="2" xfId="0" applyFont="1" applyBorder="1" applyAlignment="1">
      <alignment horizontal="center"/>
    </xf>
    <xf numFmtId="0" fontId="38" fillId="0" borderId="16" xfId="0" applyFont="1" applyBorder="1" applyAlignment="1">
      <alignment horizontal="center"/>
    </xf>
    <xf numFmtId="0" fontId="3" fillId="0" borderId="15" xfId="0" applyFont="1" applyBorder="1" applyAlignment="1">
      <alignment horizontal="center"/>
    </xf>
    <xf numFmtId="0" fontId="3" fillId="0" borderId="2" xfId="0" applyFont="1" applyBorder="1" applyAlignment="1">
      <alignment horizontal="center"/>
    </xf>
    <xf numFmtId="0" fontId="3" fillId="0" borderId="16" xfId="0" applyFont="1" applyBorder="1" applyAlignment="1">
      <alignment horizontal="center"/>
    </xf>
    <xf numFmtId="0" fontId="29" fillId="0" borderId="64" xfId="0" applyFont="1" applyBorder="1" applyAlignment="1">
      <alignment horizontal="center"/>
    </xf>
    <xf numFmtId="0" fontId="29" fillId="0" borderId="65" xfId="0" applyFont="1" applyBorder="1" applyAlignment="1">
      <alignment horizontal="center"/>
    </xf>
    <xf numFmtId="0" fontId="29" fillId="0" borderId="66" xfId="0" applyFont="1" applyBorder="1" applyAlignment="1">
      <alignment horizontal="center"/>
    </xf>
    <xf numFmtId="0" fontId="47" fillId="0" borderId="32" xfId="0" applyFont="1" applyBorder="1" applyAlignment="1">
      <alignment horizontal="center" vertical="center" wrapText="1"/>
    </xf>
    <xf numFmtId="0" fontId="29" fillId="0" borderId="20" xfId="0" applyFont="1" applyBorder="1" applyAlignment="1">
      <alignment horizontal="center"/>
    </xf>
    <xf numFmtId="0" fontId="56" fillId="0" borderId="0" xfId="0" applyFont="1" applyAlignment="1">
      <alignment horizontal="justify" vertical="top" wrapText="1"/>
    </xf>
    <xf numFmtId="0" fontId="60" fillId="0" borderId="0" xfId="0" applyFont="1" applyAlignment="1">
      <alignment horizontal="left" wrapText="1"/>
    </xf>
    <xf numFmtId="0" fontId="55" fillId="0" borderId="0" xfId="0" applyFont="1" applyAlignment="1">
      <alignment horizontal="left" vertical="center" wrapText="1"/>
    </xf>
    <xf numFmtId="0" fontId="0" fillId="30" borderId="31" xfId="0" applyFill="1" applyBorder="1" applyAlignment="1">
      <alignment horizontal="left" wrapText="1"/>
    </xf>
    <xf numFmtId="0" fontId="0" fillId="30" borderId="33" xfId="0" applyFill="1" applyBorder="1" applyAlignment="1">
      <alignment horizontal="left" wrapText="1"/>
    </xf>
    <xf numFmtId="0" fontId="56" fillId="0" borderId="0" xfId="0" applyFont="1" applyAlignment="1">
      <alignment horizontal="left" wrapText="1"/>
    </xf>
    <xf numFmtId="0" fontId="54" fillId="0" borderId="0" xfId="0" applyFont="1" applyAlignment="1">
      <alignment horizontal="center"/>
    </xf>
    <xf numFmtId="0" fontId="54" fillId="0" borderId="18" xfId="0" applyFont="1" applyBorder="1" applyAlignment="1">
      <alignment horizontal="center"/>
    </xf>
    <xf numFmtId="0" fontId="54" fillId="0" borderId="0" xfId="0" applyFont="1" applyAlignment="1">
      <alignment horizontal="center" vertical="center" readingOrder="1"/>
    </xf>
    <xf numFmtId="0" fontId="6" fillId="0" borderId="65" xfId="0" applyFont="1" applyBorder="1" applyAlignment="1">
      <alignment horizontal="left" wrapText="1"/>
    </xf>
    <xf numFmtId="0" fontId="6" fillId="0" borderId="66" xfId="0" applyFont="1" applyBorder="1" applyAlignment="1">
      <alignment horizontal="left" wrapText="1"/>
    </xf>
    <xf numFmtId="0" fontId="0" fillId="10" borderId="15"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17" xfId="0" applyFill="1" applyBorder="1" applyAlignment="1">
      <alignment horizontal="center" vertical="center" wrapText="1"/>
    </xf>
    <xf numFmtId="0" fontId="0" fillId="10" borderId="0" xfId="0" applyFill="1" applyAlignment="1">
      <alignment horizontal="center" vertical="center" wrapText="1"/>
    </xf>
    <xf numFmtId="0" fontId="0" fillId="10" borderId="19" xfId="0" applyFill="1" applyBorder="1" applyAlignment="1">
      <alignment horizontal="center" vertical="center" wrapText="1"/>
    </xf>
    <xf numFmtId="0" fontId="0" fillId="10" borderId="20" xfId="0" applyFill="1" applyBorder="1" applyAlignment="1">
      <alignment horizontal="center" vertical="center" wrapText="1"/>
    </xf>
    <xf numFmtId="0" fontId="5" fillId="10" borderId="0" xfId="0" applyFont="1" applyFill="1" applyAlignment="1">
      <alignment horizontal="center" wrapText="1"/>
    </xf>
    <xf numFmtId="0" fontId="0" fillId="10" borderId="64" xfId="0" applyFill="1" applyBorder="1" applyAlignment="1">
      <alignment horizontal="center" wrapText="1"/>
    </xf>
    <xf numFmtId="0" fontId="0" fillId="10" borderId="65" xfId="0" applyFill="1" applyBorder="1" applyAlignment="1">
      <alignment horizontal="center" wrapText="1"/>
    </xf>
    <xf numFmtId="0" fontId="0" fillId="0" borderId="2" xfId="0" applyBorder="1" applyAlignment="1">
      <alignment horizontal="left"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65" xfId="0" applyBorder="1" applyAlignment="1">
      <alignment horizontal="left" wrapText="1"/>
    </xf>
    <xf numFmtId="0" fontId="0" fillId="0" borderId="66" xfId="0" applyBorder="1" applyAlignment="1">
      <alignment horizontal="left" wrapText="1"/>
    </xf>
    <xf numFmtId="0" fontId="0" fillId="10" borderId="36" xfId="0" applyFill="1" applyBorder="1" applyAlignment="1">
      <alignment horizontal="left" vertical="center"/>
    </xf>
    <xf numFmtId="0" fontId="0" fillId="10" borderId="47" xfId="0" applyFill="1" applyBorder="1" applyAlignment="1">
      <alignment horizontal="left" vertical="center"/>
    </xf>
    <xf numFmtId="0" fontId="0" fillId="10" borderId="47" xfId="0" applyFill="1" applyBorder="1" applyAlignment="1">
      <alignment horizontal="center" vertical="center"/>
    </xf>
    <xf numFmtId="0" fontId="0" fillId="10" borderId="59" xfId="0" applyFill="1" applyBorder="1" applyAlignment="1">
      <alignment horizontal="left" vertical="center"/>
    </xf>
    <xf numFmtId="0" fontId="0" fillId="10" borderId="16" xfId="0" applyFill="1" applyBorder="1" applyAlignment="1">
      <alignment horizontal="center" vertical="center" wrapText="1"/>
    </xf>
    <xf numFmtId="0" fontId="0" fillId="10" borderId="18" xfId="0" applyFill="1" applyBorder="1" applyAlignment="1">
      <alignment horizontal="center" vertical="center" wrapText="1"/>
    </xf>
    <xf numFmtId="0" fontId="0" fillId="10" borderId="21" xfId="0" applyFill="1" applyBorder="1" applyAlignment="1">
      <alignment horizontal="center" vertical="center" wrapText="1"/>
    </xf>
    <xf numFmtId="0" fontId="0" fillId="10" borderId="64" xfId="0" applyFill="1" applyBorder="1" applyAlignment="1">
      <alignment horizontal="center" vertical="center" wrapText="1"/>
    </xf>
    <xf numFmtId="0" fontId="0" fillId="10" borderId="65" xfId="0" applyFill="1" applyBorder="1" applyAlignment="1">
      <alignment horizontal="center" vertical="center" wrapText="1"/>
    </xf>
    <xf numFmtId="0" fontId="7" fillId="23" borderId="0" xfId="0" applyFont="1" applyFill="1" applyAlignment="1">
      <alignment horizontal="center" vertical="center" wrapText="1"/>
    </xf>
    <xf numFmtId="0" fontId="5" fillId="13" borderId="0" xfId="0" applyFont="1" applyFill="1" applyAlignment="1">
      <alignment horizontal="left"/>
    </xf>
    <xf numFmtId="0" fontId="5" fillId="13" borderId="0" xfId="0" applyFont="1" applyFill="1" applyAlignment="1">
      <alignment horizontal="left" wrapText="1"/>
    </xf>
    <xf numFmtId="0" fontId="0" fillId="12" borderId="0" xfId="0" applyFill="1" applyAlignment="1">
      <alignment horizontal="center"/>
    </xf>
    <xf numFmtId="9" fontId="5" fillId="13" borderId="0" xfId="0" applyNumberFormat="1" applyFont="1" applyFill="1" applyAlignment="1">
      <alignment horizontal="left"/>
    </xf>
    <xf numFmtId="0" fontId="0" fillId="13" borderId="0" xfId="0" applyFill="1" applyAlignment="1">
      <alignment horizontal="left"/>
    </xf>
    <xf numFmtId="0" fontId="0" fillId="11" borderId="17" xfId="0" applyFill="1" applyBorder="1" applyAlignment="1">
      <alignment horizontal="center"/>
    </xf>
    <xf numFmtId="0" fontId="0" fillId="11" borderId="0" xfId="0" applyFill="1" applyAlignment="1">
      <alignment horizontal="center"/>
    </xf>
    <xf numFmtId="0" fontId="0" fillId="8" borderId="2" xfId="0" applyFill="1" applyBorder="1" applyAlignment="1">
      <alignment horizontal="center" wrapText="1"/>
    </xf>
    <xf numFmtId="0" fontId="0" fillId="8" borderId="0" xfId="0" applyFill="1" applyAlignment="1">
      <alignment horizontal="center" wrapText="1"/>
    </xf>
    <xf numFmtId="0" fontId="0" fillId="5" borderId="16" xfId="0" applyFill="1" applyBorder="1" applyAlignment="1">
      <alignment horizontal="center" wrapText="1"/>
    </xf>
    <xf numFmtId="0" fontId="0" fillId="5" borderId="18" xfId="0" applyFill="1" applyBorder="1" applyAlignment="1">
      <alignment horizontal="center" wrapText="1"/>
    </xf>
    <xf numFmtId="0" fontId="0" fillId="8" borderId="15" xfId="0" applyFill="1" applyBorder="1" applyAlignment="1">
      <alignment horizontal="center" wrapText="1"/>
    </xf>
    <xf numFmtId="0" fontId="0" fillId="8" borderId="17" xfId="0" applyFill="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5" borderId="17" xfId="0" applyFill="1" applyBorder="1" applyAlignment="1">
      <alignment horizontal="center" wrapText="1"/>
    </xf>
    <xf numFmtId="0" fontId="7" fillId="0" borderId="0" xfId="0" applyFont="1" applyAlignment="1">
      <alignment horizontal="center" wrapText="1"/>
    </xf>
    <xf numFmtId="0" fontId="0" fillId="5" borderId="0" xfId="0" applyFill="1" applyAlignment="1">
      <alignment horizontal="center"/>
    </xf>
    <xf numFmtId="0" fontId="0" fillId="0" borderId="17" xfId="0" applyBorder="1" applyAlignment="1">
      <alignment horizontal="center"/>
    </xf>
    <xf numFmtId="0" fontId="0" fillId="0" borderId="18" xfId="0" applyBorder="1" applyAlignment="1">
      <alignment horizontal="center"/>
    </xf>
    <xf numFmtId="0" fontId="5" fillId="0" borderId="0" xfId="0" applyFont="1" applyAlignment="1">
      <alignment horizontal="center" wrapText="1"/>
    </xf>
    <xf numFmtId="0" fontId="0" fillId="10" borderId="17" xfId="0" applyFill="1" applyBorder="1" applyAlignment="1">
      <alignment horizontal="center" wrapText="1"/>
    </xf>
    <xf numFmtId="0" fontId="0" fillId="10" borderId="0" xfId="0" applyFill="1" applyAlignment="1">
      <alignment horizontal="center" wrapText="1"/>
    </xf>
    <xf numFmtId="0" fontId="0" fillId="15" borderId="0" xfId="0" applyFill="1" applyAlignment="1">
      <alignment horizontal="center"/>
    </xf>
    <xf numFmtId="0" fontId="0" fillId="8" borderId="15" xfId="0" applyFill="1" applyBorder="1" applyAlignment="1">
      <alignment horizontal="center"/>
    </xf>
    <xf numFmtId="0" fontId="0" fillId="8" borderId="2" xfId="0" applyFill="1" applyBorder="1" applyAlignment="1">
      <alignment horizontal="center"/>
    </xf>
    <xf numFmtId="0" fontId="0" fillId="8" borderId="16" xfId="0" applyFill="1" applyBorder="1" applyAlignment="1">
      <alignment horizontal="center"/>
    </xf>
    <xf numFmtId="0" fontId="0" fillId="8" borderId="15"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0" xfId="0" applyFill="1" applyAlignment="1">
      <alignment horizontal="center" vertical="center" wrapText="1"/>
    </xf>
    <xf numFmtId="0" fontId="0" fillId="8" borderId="18" xfId="0" applyFill="1" applyBorder="1" applyAlignment="1">
      <alignment horizontal="center" vertical="center" wrapText="1"/>
    </xf>
    <xf numFmtId="0" fontId="0" fillId="0" borderId="11" xfId="0" applyBorder="1" applyAlignment="1">
      <alignment horizontal="center"/>
    </xf>
    <xf numFmtId="0" fontId="0" fillId="0" borderId="34" xfId="0" applyBorder="1" applyAlignment="1">
      <alignment horizontal="center"/>
    </xf>
    <xf numFmtId="0" fontId="29" fillId="8" borderId="15"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16" xfId="0" applyFont="1" applyFill="1" applyBorder="1" applyAlignment="1">
      <alignment horizontal="center" vertical="center"/>
    </xf>
    <xf numFmtId="0" fontId="29" fillId="8" borderId="17" xfId="0" applyFont="1" applyFill="1" applyBorder="1" applyAlignment="1">
      <alignment horizontal="center" vertical="center"/>
    </xf>
    <xf numFmtId="0" fontId="29" fillId="8" borderId="0" xfId="0" applyFont="1" applyFill="1" applyAlignment="1">
      <alignment horizontal="center" vertical="center"/>
    </xf>
    <xf numFmtId="0" fontId="29" fillId="8" borderId="18" xfId="0" applyFont="1" applyFill="1" applyBorder="1" applyAlignment="1">
      <alignment horizontal="center" vertical="center"/>
    </xf>
    <xf numFmtId="0" fontId="0" fillId="11" borderId="0" xfId="0" applyFill="1" applyAlignment="1">
      <alignment horizontal="center" vertical="center" wrapText="1"/>
    </xf>
    <xf numFmtId="0" fontId="0" fillId="5" borderId="0" xfId="0" applyFill="1" applyAlignment="1">
      <alignment horizontal="center" wrapText="1"/>
    </xf>
    <xf numFmtId="0" fontId="7" fillId="9" borderId="0" xfId="0" applyFont="1" applyFill="1" applyAlignment="1">
      <alignment horizontal="center" wrapText="1"/>
    </xf>
    <xf numFmtId="0" fontId="36" fillId="22" borderId="58" xfId="0" applyFont="1" applyFill="1" applyBorder="1" applyAlignment="1">
      <alignment horizontal="center"/>
    </xf>
    <xf numFmtId="0" fontId="36" fillId="22" borderId="37" xfId="0" applyFont="1" applyFill="1" applyBorder="1" applyAlignment="1">
      <alignment horizontal="center"/>
    </xf>
    <xf numFmtId="0" fontId="36" fillId="27" borderId="58" xfId="0" applyFont="1" applyFill="1" applyBorder="1" applyAlignment="1">
      <alignment horizontal="center"/>
    </xf>
    <xf numFmtId="0" fontId="36" fillId="27" borderId="37" xfId="0" applyFont="1" applyFill="1" applyBorder="1" applyAlignment="1">
      <alignment horizontal="center"/>
    </xf>
    <xf numFmtId="0" fontId="36" fillId="27" borderId="38" xfId="0" applyFont="1" applyFill="1" applyBorder="1" applyAlignment="1">
      <alignment horizontal="center"/>
    </xf>
    <xf numFmtId="0" fontId="46" fillId="29" borderId="18" xfId="0" applyFont="1" applyFill="1" applyBorder="1" applyAlignment="1">
      <alignment horizontal="left" vertical="center" wrapText="1"/>
    </xf>
    <xf numFmtId="0" fontId="46" fillId="29" borderId="63" xfId="0" applyFont="1" applyFill="1" applyBorder="1" applyAlignment="1">
      <alignment horizontal="left" vertical="center" wrapText="1"/>
    </xf>
    <xf numFmtId="0" fontId="8" fillId="0" borderId="0" xfId="0" applyFont="1" applyAlignment="1">
      <alignment horizontal="center"/>
    </xf>
    <xf numFmtId="0" fontId="5" fillId="0" borderId="15" xfId="0" applyFont="1" applyBorder="1" applyAlignment="1">
      <alignment horizontal="center" wrapText="1"/>
    </xf>
    <xf numFmtId="0" fontId="5" fillId="0" borderId="2" xfId="0" applyFont="1" applyBorder="1" applyAlignment="1">
      <alignment horizontal="center" wrapText="1"/>
    </xf>
    <xf numFmtId="0" fontId="5" fillId="0" borderId="16" xfId="0" applyFont="1" applyBorder="1" applyAlignment="1">
      <alignment horizontal="center" wrapText="1"/>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164" fontId="27" fillId="0" borderId="19" xfId="0" applyNumberFormat="1" applyFont="1" applyBorder="1" applyAlignment="1">
      <alignment horizontal="center"/>
    </xf>
    <xf numFmtId="164" fontId="27" fillId="0" borderId="20" xfId="0" applyNumberFormat="1" applyFont="1" applyBorder="1" applyAlignment="1">
      <alignment horizontal="center"/>
    </xf>
    <xf numFmtId="164" fontId="27" fillId="0" borderId="21" xfId="0" applyNumberFormat="1" applyFont="1" applyBorder="1" applyAlignment="1">
      <alignment horizontal="center"/>
    </xf>
    <xf numFmtId="0" fontId="29" fillId="0" borderId="0" xfId="0" applyFont="1" applyAlignment="1">
      <alignment horizontal="left" wrapText="1"/>
    </xf>
    <xf numFmtId="0" fontId="5" fillId="0" borderId="0" xfId="0" applyFont="1" applyAlignment="1">
      <alignment horizontal="center" vertical="center" wrapText="1"/>
    </xf>
    <xf numFmtId="9" fontId="6" fillId="6" borderId="3" xfId="0" applyNumberFormat="1" applyFont="1" applyFill="1" applyBorder="1" applyAlignment="1">
      <alignment horizontal="left" wrapText="1"/>
    </xf>
    <xf numFmtId="9" fontId="6" fillId="6" borderId="4" xfId="0" applyNumberFormat="1" applyFont="1" applyFill="1" applyBorder="1" applyAlignment="1">
      <alignment horizontal="left" wrapText="1"/>
    </xf>
    <xf numFmtId="9" fontId="6" fillId="6" borderId="5" xfId="0" applyNumberFormat="1" applyFont="1" applyFill="1" applyBorder="1" applyAlignment="1">
      <alignment horizontal="left" wrapText="1"/>
    </xf>
    <xf numFmtId="9" fontId="6" fillId="6" borderId="6" xfId="0" applyNumberFormat="1" applyFont="1" applyFill="1" applyBorder="1" applyAlignment="1">
      <alignment horizontal="left" wrapText="1"/>
    </xf>
    <xf numFmtId="9" fontId="6" fillId="6" borderId="7" xfId="0" applyNumberFormat="1" applyFont="1" applyFill="1" applyBorder="1" applyAlignment="1">
      <alignment horizontal="left" wrapText="1"/>
    </xf>
    <xf numFmtId="9" fontId="6" fillId="6" borderId="8" xfId="0" applyNumberFormat="1" applyFont="1" applyFill="1" applyBorder="1" applyAlignment="1">
      <alignment horizontal="left" wrapText="1"/>
    </xf>
    <xf numFmtId="9" fontId="0" fillId="2" borderId="9" xfId="0" applyNumberFormat="1" applyFill="1" applyBorder="1" applyAlignment="1">
      <alignment horizontal="center" vertical="center"/>
    </xf>
    <xf numFmtId="9" fontId="0" fillId="2" borderId="10" xfId="0" applyNumberFormat="1" applyFill="1" applyBorder="1" applyAlignment="1">
      <alignment horizontal="center" vertical="center"/>
    </xf>
    <xf numFmtId="0" fontId="3" fillId="0" borderId="17" xfId="0" applyFont="1" applyBorder="1" applyAlignment="1">
      <alignment horizontal="center"/>
    </xf>
    <xf numFmtId="0" fontId="3" fillId="0" borderId="0" xfId="0" applyFont="1" applyAlignment="1">
      <alignment horizontal="center"/>
    </xf>
    <xf numFmtId="0" fontId="3" fillId="0" borderId="18" xfId="0" applyFont="1" applyBorder="1" applyAlignment="1">
      <alignment horizontal="center"/>
    </xf>
    <xf numFmtId="0" fontId="3" fillId="0" borderId="15" xfId="0" applyFont="1" applyBorder="1" applyAlignment="1">
      <alignment horizontal="center" wrapText="1"/>
    </xf>
    <xf numFmtId="0" fontId="3" fillId="0" borderId="2" xfId="0" applyFont="1" applyBorder="1" applyAlignment="1">
      <alignment horizontal="center" wrapText="1"/>
    </xf>
    <xf numFmtId="0" fontId="3" fillId="0" borderId="16" xfId="0" applyFont="1" applyBorder="1" applyAlignment="1">
      <alignment horizontal="center" wrapText="1"/>
    </xf>
    <xf numFmtId="0" fontId="0" fillId="0" borderId="0" xfId="0" applyAlignment="1">
      <alignment horizontal="center" vertical="top" wrapText="1"/>
    </xf>
    <xf numFmtId="0" fontId="3" fillId="10" borderId="15" xfId="0" applyFont="1" applyFill="1" applyBorder="1" applyAlignment="1">
      <alignment horizontal="center"/>
    </xf>
    <xf numFmtId="0" fontId="3" fillId="10" borderId="2" xfId="0" applyFont="1" applyFill="1" applyBorder="1" applyAlignment="1">
      <alignment horizontal="center"/>
    </xf>
    <xf numFmtId="0" fontId="27" fillId="9" borderId="64" xfId="0" applyFont="1" applyFill="1" applyBorder="1" applyAlignment="1">
      <alignment horizontal="center" wrapText="1"/>
    </xf>
    <xf numFmtId="0" fontId="27" fillId="9" borderId="65" xfId="0" applyFont="1" applyFill="1" applyBorder="1" applyAlignment="1">
      <alignment horizontal="center" wrapText="1"/>
    </xf>
    <xf numFmtId="0" fontId="27" fillId="9" borderId="66" xfId="0" applyFont="1" applyFill="1" applyBorder="1" applyAlignment="1">
      <alignment horizontal="center" wrapText="1"/>
    </xf>
    <xf numFmtId="0" fontId="8" fillId="0" borderId="0" xfId="0" applyFont="1" applyAlignment="1">
      <alignment horizontal="left" vertical="top" wrapText="1"/>
    </xf>
    <xf numFmtId="0" fontId="3" fillId="10" borderId="16" xfId="0" applyFont="1" applyFill="1" applyBorder="1" applyAlignment="1">
      <alignment horizontal="center"/>
    </xf>
    <xf numFmtId="0" fontId="3" fillId="10" borderId="15" xfId="0" applyFont="1" applyFill="1" applyBorder="1" applyAlignment="1">
      <alignment horizontal="center" wrapText="1"/>
    </xf>
    <xf numFmtId="0" fontId="3" fillId="10" borderId="2" xfId="0" applyFont="1" applyFill="1" applyBorder="1" applyAlignment="1">
      <alignment horizontal="center" wrapText="1"/>
    </xf>
    <xf numFmtId="0" fontId="3" fillId="10" borderId="16" xfId="0" applyFont="1" applyFill="1" applyBorder="1" applyAlignment="1">
      <alignment horizontal="center" wrapText="1"/>
    </xf>
    <xf numFmtId="164" fontId="27" fillId="0" borderId="17" xfId="0" applyNumberFormat="1" applyFont="1" applyBorder="1" applyAlignment="1">
      <alignment horizontal="center"/>
    </xf>
    <xf numFmtId="164" fontId="27" fillId="0" borderId="0" xfId="0" applyNumberFormat="1" applyFont="1" applyAlignment="1">
      <alignment horizontal="center"/>
    </xf>
    <xf numFmtId="164" fontId="27" fillId="0" borderId="18" xfId="0" applyNumberFormat="1" applyFont="1" applyBorder="1" applyAlignment="1">
      <alignment horizontal="center"/>
    </xf>
    <xf numFmtId="0" fontId="29" fillId="9" borderId="64" xfId="0" applyFont="1" applyFill="1" applyBorder="1" applyAlignment="1">
      <alignment horizontal="center" wrapText="1"/>
    </xf>
    <xf numFmtId="0" fontId="29" fillId="9" borderId="65" xfId="0" applyFont="1" applyFill="1" applyBorder="1" applyAlignment="1">
      <alignment horizontal="center" wrapText="1"/>
    </xf>
    <xf numFmtId="0" fontId="29" fillId="9" borderId="66" xfId="0" applyFont="1" applyFill="1" applyBorder="1" applyAlignment="1">
      <alignment horizont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2" fontId="0" fillId="0" borderId="28" xfId="0" applyNumberFormat="1" applyBorder="1" applyAlignment="1">
      <alignment horizontal="center"/>
    </xf>
    <xf numFmtId="2" fontId="0" fillId="0" borderId="29" xfId="0" applyNumberFormat="1" applyBorder="1" applyAlignment="1">
      <alignment horizontal="center"/>
    </xf>
    <xf numFmtId="0" fontId="0" fillId="0" borderId="0" xfId="0" applyAlignment="1">
      <alignment horizontal="left" wrapText="1"/>
    </xf>
    <xf numFmtId="2" fontId="0" fillId="0" borderId="27" xfId="0" applyNumberFormat="1" applyBorder="1" applyAlignment="1">
      <alignment horizontal="center"/>
    </xf>
    <xf numFmtId="0" fontId="0" fillId="0" borderId="0" xfId="0" applyAlignment="1">
      <alignment horizontal="center" wrapText="1"/>
    </xf>
    <xf numFmtId="2" fontId="0" fillId="0" borderId="17" xfId="0" applyNumberFormat="1" applyBorder="1" applyAlignment="1">
      <alignment horizontal="center"/>
    </xf>
    <xf numFmtId="2" fontId="0" fillId="0" borderId="0" xfId="0" applyNumberFormat="1" applyAlignment="1">
      <alignment horizontal="center"/>
    </xf>
    <xf numFmtId="2" fontId="0" fillId="0" borderId="18" xfId="0" applyNumberFormat="1" applyBorder="1" applyAlignment="1">
      <alignment horizontal="center"/>
    </xf>
    <xf numFmtId="9" fontId="0" fillId="0" borderId="31" xfId="0" applyNumberFormat="1" applyBorder="1" applyAlignment="1">
      <alignment horizontal="center" vertical="center" wrapText="1"/>
    </xf>
    <xf numFmtId="9" fontId="0" fillId="0" borderId="32" xfId="0" applyNumberFormat="1" applyBorder="1" applyAlignment="1">
      <alignment horizontal="center" vertical="center" wrapText="1"/>
    </xf>
    <xf numFmtId="9" fontId="0" fillId="0" borderId="33" xfId="0" applyNumberFormat="1" applyBorder="1" applyAlignment="1">
      <alignment horizontal="center" vertical="center" wrapText="1"/>
    </xf>
    <xf numFmtId="0" fontId="8" fillId="5" borderId="0" xfId="0" applyFont="1" applyFill="1" applyAlignment="1">
      <alignment horizontal="left" wrapText="1"/>
    </xf>
    <xf numFmtId="0" fontId="8" fillId="0" borderId="15" xfId="0" applyFont="1" applyBorder="1" applyAlignment="1">
      <alignment horizontal="center"/>
    </xf>
    <xf numFmtId="0" fontId="8" fillId="0" borderId="2" xfId="0" applyFont="1" applyBorder="1" applyAlignment="1">
      <alignment horizontal="center"/>
    </xf>
    <xf numFmtId="0" fontId="8" fillId="0" borderId="16" xfId="0" applyFont="1" applyBorder="1" applyAlignment="1">
      <alignment horizontal="center"/>
    </xf>
    <xf numFmtId="9" fontId="0" fillId="0" borderId="1" xfId="0" applyNumberFormat="1" applyBorder="1" applyAlignment="1">
      <alignment horizontal="center"/>
    </xf>
    <xf numFmtId="0" fontId="0" fillId="0" borderId="1" xfId="0" applyBorder="1" applyAlignment="1">
      <alignment horizontal="center"/>
    </xf>
    <xf numFmtId="0" fontId="0" fillId="0" borderId="26" xfId="0" applyBorder="1" applyAlignment="1">
      <alignment horizontal="center"/>
    </xf>
    <xf numFmtId="0" fontId="0" fillId="0" borderId="22" xfId="0" applyBorder="1" applyAlignment="1">
      <alignment horizontal="center" wrapText="1"/>
    </xf>
    <xf numFmtId="0" fontId="0" fillId="0" borderId="23" xfId="0" applyBorder="1" applyAlignment="1">
      <alignment horizontal="center" wrapText="1"/>
    </xf>
    <xf numFmtId="0" fontId="0" fillId="0" borderId="24" xfId="0" applyBorder="1" applyAlignment="1">
      <alignment horizontal="center" wrapText="1"/>
    </xf>
    <xf numFmtId="0" fontId="5" fillId="0" borderId="22"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wrapText="1"/>
    </xf>
    <xf numFmtId="9" fontId="0" fillId="0" borderId="0" xfId="0" applyNumberFormat="1" applyAlignment="1">
      <alignment horizontal="center" vertical="center" wrapText="1"/>
    </xf>
    <xf numFmtId="9" fontId="0" fillId="0" borderId="25" xfId="0" applyNumberFormat="1" applyBorder="1" applyAlignment="1">
      <alignment horizontal="center"/>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2" fontId="0" fillId="0" borderId="15" xfId="0" applyNumberFormat="1" applyBorder="1" applyAlignment="1">
      <alignment horizontal="center"/>
    </xf>
    <xf numFmtId="2" fontId="0" fillId="0" borderId="2" xfId="0" applyNumberFormat="1" applyBorder="1" applyAlignment="1">
      <alignment horizontal="center"/>
    </xf>
    <xf numFmtId="2" fontId="0" fillId="0" borderId="16" xfId="0" applyNumberFormat="1" applyBorder="1" applyAlignment="1">
      <alignment horizontal="center"/>
    </xf>
    <xf numFmtId="0" fontId="10" fillId="3" borderId="13" xfId="3" applyFont="1" applyFill="1" applyBorder="1" applyAlignment="1">
      <alignment horizontal="center" wrapText="1"/>
    </xf>
  </cellXfs>
  <cellStyles count="9">
    <cellStyle name="Hyperlink" xfId="2" builtinId="8"/>
    <cellStyle name="Hyperlink 2" xfId="7" xr:uid="{00000000-0005-0000-0000-000001000000}"/>
    <cellStyle name="Normal" xfId="0" builtinId="0"/>
    <cellStyle name="Normal 2" xfId="3" xr:uid="{00000000-0005-0000-0000-000003000000}"/>
    <cellStyle name="Normal 2 2" xfId="6" xr:uid="{00000000-0005-0000-0000-000004000000}"/>
    <cellStyle name="Normal_2003 main NTS tables raw" xfId="5" xr:uid="{00000000-0005-0000-0000-000005000000}"/>
    <cellStyle name="Normal_5 Tables 2002" xfId="4" xr:uid="{00000000-0005-0000-0000-000006000000}"/>
    <cellStyle name="Normal_5 Tables raw" xfId="8" xr:uid="{00000000-0005-0000-0000-000007000000}"/>
    <cellStyle name="Percent" xfId="1" builtinId="5"/>
  </cellStyles>
  <dxfs count="6">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s>
  <tableStyles count="0" defaultTableStyle="TableStyleMedium2" defaultPivotStyle="PivotStyleLight16"/>
  <colors>
    <mruColors>
      <color rgb="FF00FFFF"/>
      <color rgb="FFCCFFFF"/>
      <color rgb="FFFF99FF"/>
      <color rgb="FFFF66FF"/>
      <color rgb="FFFFCCFF"/>
      <color rgb="FFE2EFDA"/>
      <color rgb="FF6699FF"/>
      <color rgb="FF33CCFF"/>
      <color rgb="FFFF00FF"/>
      <color rgb="FFF2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0.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1.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2.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3.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4.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5.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6.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8.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19.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0.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1.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2.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3.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4.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25.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26.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27.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28.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29.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0.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1.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2.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33.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34.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35.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36.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9.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6.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7.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Ex8.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Ex9.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20" baseline="0">
                <a:solidFill>
                  <a:schemeClr val="tx1">
                    <a:lumMod val="65000"/>
                    <a:lumOff val="35000"/>
                  </a:schemeClr>
                </a:solidFill>
                <a:latin typeface="+mn-lt"/>
                <a:ea typeface="+mn-ea"/>
                <a:cs typeface="+mn-cs"/>
              </a:defRPr>
            </a:pPr>
            <a:r>
              <a:rPr lang="en-GB" sz="1600" b="1">
                <a:solidFill>
                  <a:schemeClr val="tx1">
                    <a:lumMod val="65000"/>
                    <a:lumOff val="35000"/>
                  </a:schemeClr>
                </a:solidFill>
              </a:rPr>
              <a:t>Cumulative carbon emissions</a:t>
            </a:r>
          </a:p>
        </c:rich>
      </c:tx>
      <c:overlay val="0"/>
      <c:spPr>
        <a:noFill/>
        <a:ln>
          <a:noFill/>
        </a:ln>
        <a:effectLst/>
      </c:spPr>
      <c:txPr>
        <a:bodyPr rot="0" spcFirstLastPara="1" vertOverflow="ellipsis" vert="horz" wrap="square" anchor="ctr" anchorCtr="1"/>
        <a:lstStyle/>
        <a:p>
          <a:pPr>
            <a:defRPr sz="1600" b="1" i="0" u="none" strike="noStrike" kern="1200" cap="none" spc="2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'Stress calculations'!$JB$7</c:f>
              <c:strCache>
                <c:ptCount val="1"/>
                <c:pt idx="0">
                  <c:v>Cumulative emissions estimated for selected policy mix </c:v>
                </c:pt>
              </c:strCache>
            </c:strRef>
          </c:tx>
          <c:spPr>
            <a:ln w="31750" cap="rnd" cmpd="sng" algn="ctr">
              <a:solidFill>
                <a:schemeClr val="accent1"/>
              </a:solidFill>
              <a:round/>
            </a:ln>
            <a:effectLst/>
          </c:spPr>
          <c:marker>
            <c:symbol val="none"/>
          </c:marker>
          <c:cat>
            <c:numRef>
              <c:f>'Stress calculations'!$IZ$10:$IZ$40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'Stress calculations'!$JB$10:$JB$40</c:f>
              <c:numCache>
                <c:formatCode>0.0</c:formatCode>
                <c:ptCount val="31"/>
                <c:pt idx="0">
                  <c:v>1</c:v>
                </c:pt>
                <c:pt idx="1">
                  <c:v>1.9865833532851738</c:v>
                </c:pt>
                <c:pt idx="2">
                  <c:v>2.9594794083247331</c:v>
                </c:pt>
                <c:pt idx="3">
                  <c:v>3.9118885958220329</c:v>
                </c:pt>
                <c:pt idx="4">
                  <c:v>4.8428477135353258</c:v>
                </c:pt>
                <c:pt idx="5">
                  <c:v>5.7504404350000593</c:v>
                </c:pt>
                <c:pt idx="6">
                  <c:v>6.6336677548730041</c:v>
                </c:pt>
                <c:pt idx="7">
                  <c:v>7.4915188391346845</c:v>
                </c:pt>
                <c:pt idx="8">
                  <c:v>8.3229710250893749</c:v>
                </c:pt>
                <c:pt idx="9">
                  <c:v>9.1269898213651093</c:v>
                </c:pt>
                <c:pt idx="10">
                  <c:v>9.8989198853572749</c:v>
                </c:pt>
                <c:pt idx="11">
                  <c:v>10.637657955559453</c:v>
                </c:pt>
                <c:pt idx="12">
                  <c:v>11.342088941788978</c:v>
                </c:pt>
                <c:pt idx="13">
                  <c:v>12.011085925186936</c:v>
                </c:pt>
                <c:pt idx="14">
                  <c:v>12.643510158218167</c:v>
                </c:pt>
                <c:pt idx="15">
                  <c:v>13.238211064671262</c:v>
                </c:pt>
                <c:pt idx="16">
                  <c:v>13.794026239658564</c:v>
                </c:pt>
                <c:pt idx="17">
                  <c:v>14.309781449616169</c:v>
                </c:pt>
                <c:pt idx="18">
                  <c:v>14.790174273170805</c:v>
                </c:pt>
                <c:pt idx="19">
                  <c:v>15.234076862749728</c:v>
                </c:pt>
                <c:pt idx="20">
                  <c:v>15.640349542103943</c:v>
                </c:pt>
                <c:pt idx="21">
                  <c:v>16.019708201784841</c:v>
                </c:pt>
                <c:pt idx="22">
                  <c:v>16.373011231087034</c:v>
                </c:pt>
                <c:pt idx="23">
                  <c:v>16.699926282463032</c:v>
                </c:pt>
                <c:pt idx="24">
                  <c:v>17.000121008365351</c:v>
                </c:pt>
                <c:pt idx="25">
                  <c:v>17.273263061246496</c:v>
                </c:pt>
                <c:pt idx="26">
                  <c:v>17.519020093558979</c:v>
                </c:pt>
                <c:pt idx="27">
                  <c:v>17.737059757755308</c:v>
                </c:pt>
                <c:pt idx="28">
                  <c:v>17.927049706287988</c:v>
                </c:pt>
                <c:pt idx="29">
                  <c:v>18.088657591609543</c:v>
                </c:pt>
              </c:numCache>
            </c:numRef>
          </c:val>
          <c:smooth val="0"/>
          <c:extLst>
            <c:ext xmlns:c16="http://schemas.microsoft.com/office/drawing/2014/chart" uri="{C3380CC4-5D6E-409C-BE32-E72D297353CC}">
              <c16:uniqueId val="{00000000-99B9-4B6F-B0E8-0CA5B33D8D32}"/>
            </c:ext>
          </c:extLst>
        </c:ser>
        <c:ser>
          <c:idx val="1"/>
          <c:order val="1"/>
          <c:tx>
            <c:strRef>
              <c:f>'Stress calculations'!$JD$7</c:f>
              <c:strCache>
                <c:ptCount val="1"/>
                <c:pt idx="0">
                  <c:v>Cumulative emissions based on 2020 levels with no improvement (do nothing scenario)</c:v>
                </c:pt>
              </c:strCache>
            </c:strRef>
          </c:tx>
          <c:spPr>
            <a:ln w="22225" cap="rnd" cmpd="sng" algn="ctr">
              <a:solidFill>
                <a:schemeClr val="accent2"/>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99B9-4B6F-B0E8-0CA5B33D8D32}"/>
                </c:ext>
              </c:extLst>
            </c:dLbl>
            <c:dLbl>
              <c:idx val="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B9-4B6F-B0E8-0CA5B33D8D32}"/>
                </c:ext>
              </c:extLst>
            </c:dLbl>
            <c:dLbl>
              <c:idx val="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B9-4B6F-B0E8-0CA5B33D8D32}"/>
                </c:ext>
              </c:extLst>
            </c:dLbl>
            <c:dLbl>
              <c:idx val="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B9-4B6F-B0E8-0CA5B33D8D32}"/>
                </c:ext>
              </c:extLst>
            </c:dLbl>
            <c:dLbl>
              <c:idx val="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B9-4B6F-B0E8-0CA5B33D8D32}"/>
                </c:ext>
              </c:extLst>
            </c:dLbl>
            <c:dLbl>
              <c:idx val="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B9-4B6F-B0E8-0CA5B33D8D32}"/>
                </c:ext>
              </c:extLst>
            </c:dLbl>
            <c:dLbl>
              <c:idx val="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B9-4B6F-B0E8-0CA5B33D8D32}"/>
                </c:ext>
              </c:extLst>
            </c:dLbl>
            <c:dLbl>
              <c:idx val="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B9-4B6F-B0E8-0CA5B33D8D32}"/>
                </c:ext>
              </c:extLst>
            </c:dLbl>
            <c:dLbl>
              <c:idx val="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B9-4B6F-B0E8-0CA5B33D8D32}"/>
                </c:ext>
              </c:extLst>
            </c:dLbl>
            <c:dLbl>
              <c:idx val="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B9-4B6F-B0E8-0CA5B33D8D32}"/>
                </c:ext>
              </c:extLst>
            </c:dLbl>
            <c:dLbl>
              <c:idx val="1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B9-4B6F-B0E8-0CA5B33D8D32}"/>
                </c:ext>
              </c:extLst>
            </c:dLbl>
            <c:dLbl>
              <c:idx val="1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B9-4B6F-B0E8-0CA5B33D8D32}"/>
                </c:ext>
              </c:extLst>
            </c:dLbl>
            <c:dLbl>
              <c:idx val="1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B9-4B6F-B0E8-0CA5B33D8D32}"/>
                </c:ext>
              </c:extLst>
            </c:dLbl>
            <c:dLbl>
              <c:idx val="1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B9-4B6F-B0E8-0CA5B33D8D32}"/>
                </c:ext>
              </c:extLst>
            </c:dLbl>
            <c:dLbl>
              <c:idx val="1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9B9-4B6F-B0E8-0CA5B33D8D32}"/>
                </c:ext>
              </c:extLst>
            </c:dLbl>
            <c:dLbl>
              <c:idx val="1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B9-4B6F-B0E8-0CA5B33D8D32}"/>
                </c:ext>
              </c:extLst>
            </c:dLbl>
            <c:dLbl>
              <c:idx val="1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9B9-4B6F-B0E8-0CA5B33D8D32}"/>
                </c:ext>
              </c:extLst>
            </c:dLbl>
            <c:dLbl>
              <c:idx val="1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9B9-4B6F-B0E8-0CA5B33D8D32}"/>
                </c:ext>
              </c:extLst>
            </c:dLbl>
            <c:dLbl>
              <c:idx val="1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9B9-4B6F-B0E8-0CA5B33D8D32}"/>
                </c:ext>
              </c:extLst>
            </c:dLbl>
            <c:dLbl>
              <c:idx val="1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9B9-4B6F-B0E8-0CA5B33D8D32}"/>
                </c:ext>
              </c:extLst>
            </c:dLbl>
            <c:dLbl>
              <c:idx val="2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9B9-4B6F-B0E8-0CA5B33D8D32}"/>
                </c:ext>
              </c:extLst>
            </c:dLbl>
            <c:dLbl>
              <c:idx val="2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9B9-4B6F-B0E8-0CA5B33D8D32}"/>
                </c:ext>
              </c:extLst>
            </c:dLbl>
            <c:dLbl>
              <c:idx val="2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9B9-4B6F-B0E8-0CA5B33D8D32}"/>
                </c:ext>
              </c:extLst>
            </c:dLbl>
            <c:dLbl>
              <c:idx val="2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9B9-4B6F-B0E8-0CA5B33D8D32}"/>
                </c:ext>
              </c:extLst>
            </c:dLbl>
            <c:dLbl>
              <c:idx val="2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9B9-4B6F-B0E8-0CA5B33D8D32}"/>
                </c:ext>
              </c:extLst>
            </c:dLbl>
            <c:dLbl>
              <c:idx val="2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9B9-4B6F-B0E8-0CA5B33D8D32}"/>
                </c:ext>
              </c:extLst>
            </c:dLbl>
            <c:dLbl>
              <c:idx val="2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9B9-4B6F-B0E8-0CA5B33D8D32}"/>
                </c:ext>
              </c:extLst>
            </c:dLbl>
            <c:dLbl>
              <c:idx val="2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9B9-4B6F-B0E8-0CA5B33D8D32}"/>
                </c:ext>
              </c:extLst>
            </c:dLbl>
            <c:dLbl>
              <c:idx val="2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9B9-4B6F-B0E8-0CA5B33D8D32}"/>
                </c:ext>
              </c:extLst>
            </c:dLbl>
            <c:dLbl>
              <c:idx val="2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9B9-4B6F-B0E8-0CA5B33D8D32}"/>
                </c:ext>
              </c:extLst>
            </c:dLbl>
            <c:dLbl>
              <c:idx val="3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9B9-4B6F-B0E8-0CA5B33D8D32}"/>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dk1">
                          <a:lumMod val="35000"/>
                          <a:lumOff val="65000"/>
                        </a:schemeClr>
                      </a:solidFill>
                    </a:ln>
                    <a:effectLst/>
                  </c:spPr>
                </c15:leaderLines>
              </c:ext>
            </c:extLst>
          </c:dLbls>
          <c:cat>
            <c:numRef>
              <c:f>'Stress calculations'!$IZ$10:$IZ$40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'Stress calculations'!$JD$10:$JD$40</c:f>
              <c:numCache>
                <c:formatCode>0.0</c:formatCode>
                <c:ptCount val="31"/>
                <c:pt idx="0">
                  <c:v>1</c:v>
                </c:pt>
                <c:pt idx="1">
                  <c:v>2.0070175438596491</c:v>
                </c:pt>
                <c:pt idx="2">
                  <c:v>3.0210526315789474</c:v>
                </c:pt>
                <c:pt idx="3">
                  <c:v>4.0421052631578949</c:v>
                </c:pt>
                <c:pt idx="4">
                  <c:v>5.0701754385964914</c:v>
                </c:pt>
                <c:pt idx="5">
                  <c:v>6.1052631578947372</c:v>
                </c:pt>
                <c:pt idx="6">
                  <c:v>7.147368421052632</c:v>
                </c:pt>
                <c:pt idx="7">
                  <c:v>8.196491228070176</c:v>
                </c:pt>
                <c:pt idx="8">
                  <c:v>9.2526315789473692</c:v>
                </c:pt>
                <c:pt idx="9">
                  <c:v>10.315789473684212</c:v>
                </c:pt>
                <c:pt idx="10">
                  <c:v>11.385964912280702</c:v>
                </c:pt>
                <c:pt idx="11">
                  <c:v>12.463157894736842</c:v>
                </c:pt>
                <c:pt idx="12">
                  <c:v>13.547368421052632</c:v>
                </c:pt>
                <c:pt idx="13">
                  <c:v>14.638596491228071</c:v>
                </c:pt>
                <c:pt idx="14">
                  <c:v>15.736842105263158</c:v>
                </c:pt>
                <c:pt idx="15">
                  <c:v>16.842105263157894</c:v>
                </c:pt>
                <c:pt idx="16">
                  <c:v>17.95438596491228</c:v>
                </c:pt>
                <c:pt idx="17">
                  <c:v>19.073684210526313</c:v>
                </c:pt>
                <c:pt idx="18">
                  <c:v>20.2</c:v>
                </c:pt>
                <c:pt idx="19">
                  <c:v>21.333333333333332</c:v>
                </c:pt>
                <c:pt idx="20">
                  <c:v>22.473684210526315</c:v>
                </c:pt>
                <c:pt idx="21">
                  <c:v>23.621052631578944</c:v>
                </c:pt>
                <c:pt idx="22">
                  <c:v>24.775438596491227</c:v>
                </c:pt>
                <c:pt idx="23">
                  <c:v>25.936842105263157</c:v>
                </c:pt>
                <c:pt idx="24">
                  <c:v>27.105263157894733</c:v>
                </c:pt>
                <c:pt idx="25">
                  <c:v>28.280701754385962</c:v>
                </c:pt>
                <c:pt idx="26">
                  <c:v>29.463157894736842</c:v>
                </c:pt>
                <c:pt idx="27">
                  <c:v>30.652631578947368</c:v>
                </c:pt>
                <c:pt idx="28">
                  <c:v>31.849122807017544</c:v>
                </c:pt>
                <c:pt idx="29">
                  <c:v>33.05263157894737</c:v>
                </c:pt>
              </c:numCache>
            </c:numRef>
          </c:val>
          <c:smooth val="0"/>
          <c:extLst>
            <c:ext xmlns:c16="http://schemas.microsoft.com/office/drawing/2014/chart" uri="{C3380CC4-5D6E-409C-BE32-E72D297353CC}">
              <c16:uniqueId val="{00000020-99B9-4B6F-B0E8-0CA5B33D8D32}"/>
            </c:ext>
          </c:extLst>
        </c:ser>
        <c:ser>
          <c:idx val="2"/>
          <c:order val="2"/>
          <c:tx>
            <c:strRef>
              <c:f>'Stress calculations'!$JF$7</c:f>
              <c:strCache>
                <c:ptCount val="1"/>
                <c:pt idx="0">
                  <c:v>Cumulative emissions target to remain within 1.5 degrees celcius temperature rise</c:v>
                </c:pt>
              </c:strCache>
            </c:strRef>
          </c:tx>
          <c:spPr>
            <a:ln w="28575" cap="rnd" cmpd="sng" algn="ctr">
              <a:solidFill>
                <a:schemeClr val="accent6"/>
              </a:solidFill>
              <a:prstDash val="dash"/>
              <a:round/>
            </a:ln>
            <a:effectLst/>
          </c:spPr>
          <c:marker>
            <c:symbol val="none"/>
          </c:marker>
          <c:val>
            <c:numRef>
              <c:f>'Stress calculations'!$JG$10:$JG$40</c:f>
              <c:numCache>
                <c:formatCode>0.0</c:formatCode>
                <c:ptCount val="31"/>
                <c:pt idx="0">
                  <c:v>1</c:v>
                </c:pt>
                <c:pt idx="1">
                  <c:v>1.9473684210526316</c:v>
                </c:pt>
                <c:pt idx="2">
                  <c:v>2.8421052631578947</c:v>
                </c:pt>
                <c:pt idx="3">
                  <c:v>3.6842105263157894</c:v>
                </c:pt>
                <c:pt idx="4">
                  <c:v>4.473684210526315</c:v>
                </c:pt>
                <c:pt idx="5">
                  <c:v>5.2105263157894735</c:v>
                </c:pt>
                <c:pt idx="6">
                  <c:v>5.8947368421052619</c:v>
                </c:pt>
                <c:pt idx="7">
                  <c:v>6.5263157894736832</c:v>
                </c:pt>
                <c:pt idx="8">
                  <c:v>7.1052631578947354</c:v>
                </c:pt>
                <c:pt idx="9">
                  <c:v>7.6315789473684195</c:v>
                </c:pt>
                <c:pt idx="10">
                  <c:v>8.1052631578947345</c:v>
                </c:pt>
                <c:pt idx="11">
                  <c:v>8.5605263157894704</c:v>
                </c:pt>
                <c:pt idx="12">
                  <c:v>8.9973684210526272</c:v>
                </c:pt>
                <c:pt idx="13">
                  <c:v>9.4157894736842049</c:v>
                </c:pt>
                <c:pt idx="14">
                  <c:v>9.8157894736842053</c:v>
                </c:pt>
                <c:pt idx="15">
                  <c:v>10.197368421052625</c:v>
                </c:pt>
                <c:pt idx="16">
                  <c:v>10.560526315789467</c:v>
                </c:pt>
                <c:pt idx="17">
                  <c:v>10.905263157894732</c:v>
                </c:pt>
                <c:pt idx="18">
                  <c:v>11.231578947368416</c:v>
                </c:pt>
                <c:pt idx="19">
                  <c:v>11.539473684210522</c:v>
                </c:pt>
                <c:pt idx="20">
                  <c:v>11.828947368421048</c:v>
                </c:pt>
                <c:pt idx="21">
                  <c:v>12.099999999999996</c:v>
                </c:pt>
                <c:pt idx="22">
                  <c:v>12.352631578947365</c:v>
                </c:pt>
                <c:pt idx="23">
                  <c:v>12.586842105263154</c:v>
                </c:pt>
                <c:pt idx="24">
                  <c:v>12.802631578947365</c:v>
                </c:pt>
                <c:pt idx="25">
                  <c:v>12.999999999999996</c:v>
                </c:pt>
                <c:pt idx="26">
                  <c:v>13.178947368421049</c:v>
                </c:pt>
                <c:pt idx="27">
                  <c:v>13.339473684210523</c:v>
                </c:pt>
                <c:pt idx="28">
                  <c:v>13.481578947368417</c:v>
                </c:pt>
                <c:pt idx="29">
                  <c:v>13.605263157894733</c:v>
                </c:pt>
              </c:numCache>
            </c:numRef>
          </c:val>
          <c:smooth val="0"/>
          <c:extLst>
            <c:ext xmlns:c16="http://schemas.microsoft.com/office/drawing/2014/chart" uri="{C3380CC4-5D6E-409C-BE32-E72D297353CC}">
              <c16:uniqueId val="{00000021-99B9-4B6F-B0E8-0CA5B33D8D32}"/>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22927664"/>
        <c:axId val="622923728"/>
      </c:lineChart>
      <c:catAx>
        <c:axId val="622927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3728"/>
        <c:crosses val="autoZero"/>
        <c:auto val="1"/>
        <c:lblAlgn val="ctr"/>
        <c:lblOffset val="100"/>
        <c:noMultiLvlLbl val="0"/>
      </c:catAx>
      <c:valAx>
        <c:axId val="622923728"/>
        <c:scaling>
          <c:orientation val="minMax"/>
        </c:scaling>
        <c:delete val="0"/>
        <c:axPos val="l"/>
        <c:title>
          <c:tx>
            <c:rich>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r>
                  <a:rPr lang="en-US"/>
                  <a:t>Cumulative carbon emissions: Index 1=2020 </a:t>
                </a:r>
              </a:p>
            </c:rich>
          </c:tx>
          <c:overlay val="0"/>
          <c:spPr>
            <a:noFill/>
            <a:ln>
              <a:noFill/>
            </a:ln>
            <a:effectLst/>
          </c:spPr>
          <c:txPr>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766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20%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calculations'!$HI$6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calculations'!$HI$7:$HI$40</c:f>
              <c:numCache>
                <c:formatCode>0%</c:formatCode>
                <c:ptCount val="34"/>
                <c:pt idx="0">
                  <c:v>1</c:v>
                </c:pt>
                <c:pt idx="1">
                  <c:v>0.98333333333333328</c:v>
                </c:pt>
                <c:pt idx="2">
                  <c:v>0.96666666666666656</c:v>
                </c:pt>
                <c:pt idx="3" formatCode="0.00%">
                  <c:v>0.95</c:v>
                </c:pt>
                <c:pt idx="4" formatCode="0.00%">
                  <c:v>0.93404941176470579</c:v>
                </c:pt>
                <c:pt idx="5" formatCode="0.00%">
                  <c:v>0.91809882352941174</c:v>
                </c:pt>
                <c:pt idx="6" formatCode="0.00%">
                  <c:v>0.90097466631247514</c:v>
                </c:pt>
                <c:pt idx="7" formatCode="0.00%">
                  <c:v>0.88376020982597336</c:v>
                </c:pt>
                <c:pt idx="8" formatCode="0.00%">
                  <c:v>0.86559006945452155</c:v>
                </c:pt>
                <c:pt idx="9" formatCode="0.00%">
                  <c:v>0.84732962981350479</c:v>
                </c:pt>
                <c:pt idx="10" formatCode="0.00%">
                  <c:v>0.82897889090292254</c:v>
                </c:pt>
                <c:pt idx="11" formatCode="0.00%">
                  <c:v>0.81053785272277512</c:v>
                </c:pt>
                <c:pt idx="12" formatCode="0.00%">
                  <c:v>0.79200651527306265</c:v>
                </c:pt>
                <c:pt idx="13" formatCode="0.00%">
                  <c:v>0.77017059283949918</c:v>
                </c:pt>
                <c:pt idx="14" formatCode="0.00%">
                  <c:v>0.74824437113637055</c:v>
                </c:pt>
                <c:pt idx="15" formatCode="0.00%">
                  <c:v>0.72622785016367664</c:v>
                </c:pt>
                <c:pt idx="16" formatCode="0.00%">
                  <c:v>0.70412102992141745</c:v>
                </c:pt>
                <c:pt idx="17" formatCode="0.00%">
                  <c:v>0.6819239104095931</c:v>
                </c:pt>
                <c:pt idx="18" formatCode="0.00%">
                  <c:v>0.6596364916282037</c:v>
                </c:pt>
                <c:pt idx="19" formatCode="0.00%">
                  <c:v>0.63725877357724869</c:v>
                </c:pt>
                <c:pt idx="20" formatCode="0.00%">
                  <c:v>0.61479075625672874</c:v>
                </c:pt>
                <c:pt idx="21" formatCode="0.00%">
                  <c:v>0.59722302790193771</c:v>
                </c:pt>
                <c:pt idx="22" formatCode="0.00%">
                  <c:v>0.5795650002775814</c:v>
                </c:pt>
                <c:pt idx="23" formatCode="0.00%">
                  <c:v>0.56181667338365993</c:v>
                </c:pt>
                <c:pt idx="24" formatCode="0.00%">
                  <c:v>0.54397804722017307</c:v>
                </c:pt>
                <c:pt idx="25" formatCode="0.00%">
                  <c:v>0.52604912178712082</c:v>
                </c:pt>
                <c:pt idx="26" formatCode="0.00%">
                  <c:v>0.50802989708450386</c:v>
                </c:pt>
                <c:pt idx="27" formatCode="0.00%">
                  <c:v>0.48992037311232151</c:v>
                </c:pt>
                <c:pt idx="28" formatCode="0.00%">
                  <c:v>0.47172054987057366</c:v>
                </c:pt>
                <c:pt idx="29" formatCode="0.00%">
                  <c:v>0.45343042735926098</c:v>
                </c:pt>
                <c:pt idx="30" formatCode="0.00%">
                  <c:v>0.43505000557838303</c:v>
                </c:pt>
                <c:pt idx="31" formatCode="0.00%">
                  <c:v>0.41657928452793958</c:v>
                </c:pt>
                <c:pt idx="32" formatCode="0.00%">
                  <c:v>0.39801826420793096</c:v>
                </c:pt>
                <c:pt idx="33" formatCode="0.00%">
                  <c:v>0.3793669446183574</c:v>
                </c:pt>
              </c:numCache>
            </c:numRef>
          </c:val>
          <c:extLst>
            <c:ext xmlns:c16="http://schemas.microsoft.com/office/drawing/2014/chart" uri="{C3380CC4-5D6E-409C-BE32-E72D297353CC}">
              <c16:uniqueId val="{00000001-3119-4DD8-BDAA-21587AF2C9CD}"/>
            </c:ext>
          </c:extLst>
        </c:ser>
        <c:ser>
          <c:idx val="11"/>
          <c:order val="1"/>
          <c:tx>
            <c:strRef>
              <c:f>'Main calculations'!$HK$6</c:f>
              <c:strCache>
                <c:ptCount val="1"/>
                <c:pt idx="0">
                  <c:v>20%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calculations'!$HK$7:$HK$40</c:f>
              <c:numCache>
                <c:formatCode>0.00%</c:formatCode>
                <c:ptCount val="34"/>
                <c:pt idx="0">
                  <c:v>0</c:v>
                </c:pt>
                <c:pt idx="1">
                  <c:v>0</c:v>
                </c:pt>
                <c:pt idx="2">
                  <c:v>0</c:v>
                </c:pt>
                <c:pt idx="3">
                  <c:v>0</c:v>
                </c:pt>
                <c:pt idx="4" formatCode="0.0%">
                  <c:v>0</c:v>
                </c:pt>
                <c:pt idx="5" formatCode="0.0%">
                  <c:v>0</c:v>
                </c:pt>
                <c:pt idx="6" formatCode="0.0%">
                  <c:v>1.5520134260869562E-3</c:v>
                </c:pt>
                <c:pt idx="7" formatCode="0.0%">
                  <c:v>3.19432612173913E-3</c:v>
                </c:pt>
                <c:pt idx="8" formatCode="0.0%">
                  <c:v>4.9269380869565206E-3</c:v>
                </c:pt>
                <c:pt idx="9" formatCode="0.0%">
                  <c:v>6.7498493217391297E-3</c:v>
                </c:pt>
                <c:pt idx="10" formatCode="0.0%">
                  <c:v>8.6630598260869565E-3</c:v>
                </c:pt>
                <c:pt idx="11" formatCode="0.0%">
                  <c:v>1.0666569599999998E-2</c:v>
                </c:pt>
                <c:pt idx="12" formatCode="0.0%">
                  <c:v>1.276037864347826E-2</c:v>
                </c:pt>
                <c:pt idx="13" formatCode="0.0%">
                  <c:v>1.4944486956521737E-2</c:v>
                </c:pt>
                <c:pt idx="14" formatCode="0.0%">
                  <c:v>1.7218894539130433E-2</c:v>
                </c:pt>
                <c:pt idx="15" formatCode="0.0%">
                  <c:v>1.9583601391304342E-2</c:v>
                </c:pt>
                <c:pt idx="16" formatCode="0.0%">
                  <c:v>2.2038607513043477E-2</c:v>
                </c:pt>
                <c:pt idx="17" formatCode="0.0%">
                  <c:v>2.4583912904347825E-2</c:v>
                </c:pt>
                <c:pt idx="18" formatCode="0.0%">
                  <c:v>2.7219517565217392E-2</c:v>
                </c:pt>
                <c:pt idx="19" formatCode="0.0%">
                  <c:v>2.9945421495652172E-2</c:v>
                </c:pt>
                <c:pt idx="20" formatCode="0.0%">
                  <c:v>3.2761624695652171E-2</c:v>
                </c:pt>
                <c:pt idx="21" formatCode="0.0%">
                  <c:v>3.5668127165217389E-2</c:v>
                </c:pt>
                <c:pt idx="22" formatCode="0.0%">
                  <c:v>3.866492890434782E-2</c:v>
                </c:pt>
                <c:pt idx="23" formatCode="0.0%">
                  <c:v>4.1752029913043477E-2</c:v>
                </c:pt>
                <c:pt idx="24" formatCode="0.0%">
                  <c:v>4.492943019130434E-2</c:v>
                </c:pt>
                <c:pt idx="25" formatCode="0.0%">
                  <c:v>4.8197129739130429E-2</c:v>
                </c:pt>
                <c:pt idx="26" formatCode="0.0%">
                  <c:v>5.1555128556521737E-2</c:v>
                </c:pt>
                <c:pt idx="27" formatCode="0.0%">
                  <c:v>5.5003426643478258E-2</c:v>
                </c:pt>
                <c:pt idx="28" formatCode="0.0%">
                  <c:v>5.8542023999999998E-2</c:v>
                </c:pt>
                <c:pt idx="29" formatCode="0.0%">
                  <c:v>6.2170920626086958E-2</c:v>
                </c:pt>
                <c:pt idx="30" formatCode="0.0%">
                  <c:v>6.5890116521739137E-2</c:v>
                </c:pt>
                <c:pt idx="31" formatCode="0.0%">
                  <c:v>6.9699611686956542E-2</c:v>
                </c:pt>
                <c:pt idx="32" formatCode="0.0%">
                  <c:v>7.3599406121739153E-2</c:v>
                </c:pt>
                <c:pt idx="33" formatCode="0.0%">
                  <c:v>7.7589499826086983E-2</c:v>
                </c:pt>
              </c:numCache>
            </c:numRef>
          </c:val>
          <c:extLst>
            <c:ext xmlns:c16="http://schemas.microsoft.com/office/drawing/2014/chart" uri="{C3380CC4-5D6E-409C-BE32-E72D297353CC}">
              <c16:uniqueId val="{0000001A-3119-4DD8-BDAA-21587AF2C9CD}"/>
            </c:ext>
          </c:extLst>
        </c:ser>
        <c:ser>
          <c:idx val="4"/>
          <c:order val="2"/>
          <c:tx>
            <c:strRef>
              <c:f>'Main calculations'!$HL$6</c:f>
              <c:strCache>
                <c:ptCount val="1"/>
                <c:pt idx="0">
                  <c:v>ICE fuel efficiency@20%BEV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calculations'!$HL$7:$HL$40</c:f>
              <c:numCache>
                <c:formatCode>0.00%</c:formatCode>
                <c:ptCount val="34"/>
                <c:pt idx="0">
                  <c:v>0</c:v>
                </c:pt>
                <c:pt idx="1">
                  <c:v>0</c:v>
                </c:pt>
                <c:pt idx="2">
                  <c:v>0</c:v>
                </c:pt>
                <c:pt idx="3">
                  <c:v>0</c:v>
                </c:pt>
                <c:pt idx="4" formatCode="0.0%">
                  <c:v>4.9905882352941156E-3</c:v>
                </c:pt>
                <c:pt idx="5" formatCode="0.0%">
                  <c:v>9.9811764705882312E-3</c:v>
                </c:pt>
                <c:pt idx="6" formatCode="0.0%">
                  <c:v>1.4343320261437902E-2</c:v>
                </c:pt>
                <c:pt idx="7" formatCode="0.0%">
                  <c:v>1.8705464052287572E-2</c:v>
                </c:pt>
                <c:pt idx="8" formatCode="0.0%">
                  <c:v>2.3067607843137244E-2</c:v>
                </c:pt>
                <c:pt idx="9" formatCode="0.0%">
                  <c:v>2.7429751633986917E-2</c:v>
                </c:pt>
                <c:pt idx="10" formatCode="0.0%">
                  <c:v>3.1791895424836583E-2</c:v>
                </c:pt>
                <c:pt idx="11" formatCode="0.0%">
                  <c:v>3.6154039215686266E-2</c:v>
                </c:pt>
                <c:pt idx="12" formatCode="0.0%">
                  <c:v>4.0516183006535936E-2</c:v>
                </c:pt>
                <c:pt idx="13" formatCode="0.0%">
                  <c:v>4.4878326797385605E-2</c:v>
                </c:pt>
                <c:pt idx="14" formatCode="0.0%">
                  <c:v>4.9240470588235274E-2</c:v>
                </c:pt>
                <c:pt idx="15" formatCode="0.0%">
                  <c:v>5.3602614379084944E-2</c:v>
                </c:pt>
                <c:pt idx="16" formatCode="0.0%">
                  <c:v>5.7964758169934613E-2</c:v>
                </c:pt>
                <c:pt idx="17" formatCode="0.0%">
                  <c:v>6.2326901960784283E-2</c:v>
                </c:pt>
                <c:pt idx="18" formatCode="0.0%">
                  <c:v>6.6689045751633966E-2</c:v>
                </c:pt>
                <c:pt idx="19" formatCode="0.0%">
                  <c:v>7.1051189542483656E-2</c:v>
                </c:pt>
                <c:pt idx="20" formatCode="0.0%">
                  <c:v>7.5413333333333318E-2</c:v>
                </c:pt>
                <c:pt idx="21" formatCode="0.0%">
                  <c:v>7.4784888888888873E-2</c:v>
                </c:pt>
                <c:pt idx="22" formatCode="0.0%">
                  <c:v>7.4156444444444414E-2</c:v>
                </c:pt>
                <c:pt idx="23" formatCode="0.0%">
                  <c:v>7.3527999999999982E-2</c:v>
                </c:pt>
                <c:pt idx="24" formatCode="0.0%">
                  <c:v>7.2899555555555523E-2</c:v>
                </c:pt>
                <c:pt idx="25" formatCode="0.0%">
                  <c:v>7.2271111111111092E-2</c:v>
                </c:pt>
                <c:pt idx="26" formatCode="0.0%">
                  <c:v>7.1642666666666632E-2</c:v>
                </c:pt>
                <c:pt idx="27" formatCode="0.0%">
                  <c:v>7.1014222222222201E-2</c:v>
                </c:pt>
                <c:pt idx="28" formatCode="0.0%">
                  <c:v>7.0385777777777769E-2</c:v>
                </c:pt>
                <c:pt idx="29" formatCode="0.0%">
                  <c:v>6.975733333333331E-2</c:v>
                </c:pt>
                <c:pt idx="30" formatCode="0.0%">
                  <c:v>6.9128888888888879E-2</c:v>
                </c:pt>
                <c:pt idx="31" formatCode="0.0%">
                  <c:v>6.8500444444444419E-2</c:v>
                </c:pt>
                <c:pt idx="32" formatCode="0.0%">
                  <c:v>6.7871999999999988E-2</c:v>
                </c:pt>
                <c:pt idx="33" formatCode="0.0%">
                  <c:v>6.7243555555555529E-2</c:v>
                </c:pt>
              </c:numCache>
            </c:numRef>
          </c:val>
          <c:extLst>
            <c:ext xmlns:c16="http://schemas.microsoft.com/office/drawing/2014/chart" uri="{C3380CC4-5D6E-409C-BE32-E72D297353CC}">
              <c16:uniqueId val="{00000004-3119-4DD8-BDAA-21587AF2C9CD}"/>
            </c:ext>
          </c:extLst>
        </c:ser>
        <c:ser>
          <c:idx val="0"/>
          <c:order val="3"/>
          <c:tx>
            <c:strRef>
              <c:f>'Main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calculations'!$FE$7:$FE$40</c:f>
              <c:numCache>
                <c:formatCode>0.00%</c:formatCode>
                <c:ptCount val="34"/>
                <c:pt idx="0">
                  <c:v>0</c:v>
                </c:pt>
                <c:pt idx="1">
                  <c:v>0</c:v>
                </c:pt>
                <c:pt idx="2">
                  <c:v>0</c:v>
                </c:pt>
                <c:pt idx="3">
                  <c:v>0</c:v>
                </c:pt>
                <c:pt idx="4" formatCode="0.0%">
                  <c:v>8.1751824817518637E-3</c:v>
                </c:pt>
                <c:pt idx="5" formatCode="0.0%">
                  <c:v>1.6350364963503616E-2</c:v>
                </c:pt>
                <c:pt idx="6" formatCode="0.0%">
                  <c:v>2.452554744525548E-2</c:v>
                </c:pt>
                <c:pt idx="7" formatCode="0.0%">
                  <c:v>3.2700729927007344E-2</c:v>
                </c:pt>
                <c:pt idx="8" formatCode="0.0%">
                  <c:v>4.0875912408759096E-2</c:v>
                </c:pt>
                <c:pt idx="9" formatCode="0.0%">
                  <c:v>4.905109489051096E-2</c:v>
                </c:pt>
                <c:pt idx="10" formatCode="0.0%">
                  <c:v>5.7226277372262824E-2</c:v>
                </c:pt>
                <c:pt idx="11" formatCode="0.0%">
                  <c:v>6.5401459854014576E-2</c:v>
                </c:pt>
                <c:pt idx="12" formatCode="0.0%">
                  <c:v>7.357664233576644E-2</c:v>
                </c:pt>
                <c:pt idx="13" formatCode="0.0%">
                  <c:v>8.1751824817518193E-2</c:v>
                </c:pt>
                <c:pt idx="14" formatCode="0.0%">
                  <c:v>8.9927007299270056E-2</c:v>
                </c:pt>
                <c:pt idx="15" formatCode="0.0%">
                  <c:v>9.810218978102192E-2</c:v>
                </c:pt>
                <c:pt idx="16" formatCode="0.0%">
                  <c:v>0.10627737226277367</c:v>
                </c:pt>
                <c:pt idx="17" formatCode="0.0%">
                  <c:v>0.11445255474452554</c:v>
                </c:pt>
                <c:pt idx="18" formatCode="0.0%">
                  <c:v>0.1226277372262774</c:v>
                </c:pt>
                <c:pt idx="19" formatCode="0.0%">
                  <c:v>0.13080291970802915</c:v>
                </c:pt>
                <c:pt idx="20" formatCode="0.0%">
                  <c:v>0.13897810218978102</c:v>
                </c:pt>
                <c:pt idx="21" formatCode="0.0%">
                  <c:v>0.14715328467153288</c:v>
                </c:pt>
                <c:pt idx="22" formatCode="0.0%">
                  <c:v>0.15532846715328463</c:v>
                </c:pt>
                <c:pt idx="23" formatCode="0.0%">
                  <c:v>0.1635036496350365</c:v>
                </c:pt>
                <c:pt idx="24" formatCode="0.0%">
                  <c:v>0.17167883211678836</c:v>
                </c:pt>
                <c:pt idx="25" formatCode="0.0%">
                  <c:v>0.17985401459854022</c:v>
                </c:pt>
                <c:pt idx="26" formatCode="0.0%">
                  <c:v>0.18802919708029198</c:v>
                </c:pt>
                <c:pt idx="27" formatCode="0.0%">
                  <c:v>0.19620437956204384</c:v>
                </c:pt>
                <c:pt idx="28" formatCode="0.0%">
                  <c:v>0.2043795620437957</c:v>
                </c:pt>
                <c:pt idx="29" formatCode="0.0%">
                  <c:v>0.21255474452554757</c:v>
                </c:pt>
                <c:pt idx="30" formatCode="0.0%">
                  <c:v>0.22072992700729938</c:v>
                </c:pt>
                <c:pt idx="31" formatCode="0.0%">
                  <c:v>0.22890510948905118</c:v>
                </c:pt>
                <c:pt idx="32" formatCode="0.0%">
                  <c:v>0.23708029197080305</c:v>
                </c:pt>
                <c:pt idx="33" formatCode="0.0%">
                  <c:v>0.24525547445255491</c:v>
                </c:pt>
              </c:numCache>
            </c:numRef>
          </c:val>
          <c:extLst>
            <c:ext xmlns:c16="http://schemas.microsoft.com/office/drawing/2014/chart" uri="{C3380CC4-5D6E-409C-BE32-E72D297353CC}">
              <c16:uniqueId val="{00000000-3119-4DD8-BDAA-21587AF2C9CD}"/>
            </c:ext>
          </c:extLst>
        </c:ser>
        <c:ser>
          <c:idx val="12"/>
          <c:order val="4"/>
          <c:tx>
            <c:strRef>
              <c:f>'Main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calculations'!$FF$7:$FF$40</c:f>
              <c:numCache>
                <c:formatCode>0.00%</c:formatCode>
                <c:ptCount val="34"/>
                <c:pt idx="0">
                  <c:v>0</c:v>
                </c:pt>
                <c:pt idx="1">
                  <c:v>0</c:v>
                </c:pt>
                <c:pt idx="2">
                  <c:v>0</c:v>
                </c:pt>
                <c:pt idx="3">
                  <c:v>0</c:v>
                </c:pt>
                <c:pt idx="4" formatCode="0.0%">
                  <c:v>3.4793187347932353E-3</c:v>
                </c:pt>
                <c:pt idx="5" formatCode="0.0%">
                  <c:v>6.9586374695863595E-3</c:v>
                </c:pt>
                <c:pt idx="6" formatCode="0.0%">
                  <c:v>1.0437956204379595E-2</c:v>
                </c:pt>
                <c:pt idx="7" formatCode="0.0%">
                  <c:v>1.3917274939172719E-2</c:v>
                </c:pt>
                <c:pt idx="8" formatCode="0.0%">
                  <c:v>1.7396593673965954E-2</c:v>
                </c:pt>
                <c:pt idx="9" formatCode="0.0%">
                  <c:v>2.0875912408759079E-2</c:v>
                </c:pt>
                <c:pt idx="10" formatCode="0.0%">
                  <c:v>2.4355231143552314E-2</c:v>
                </c:pt>
                <c:pt idx="11" formatCode="0.0%">
                  <c:v>2.7834549878345549E-2</c:v>
                </c:pt>
                <c:pt idx="12" formatCode="0.0%">
                  <c:v>3.1313868613138673E-2</c:v>
                </c:pt>
                <c:pt idx="13" formatCode="0.0%">
                  <c:v>3.4793187347931909E-2</c:v>
                </c:pt>
                <c:pt idx="14" formatCode="0.0%">
                  <c:v>3.8272506082725033E-2</c:v>
                </c:pt>
                <c:pt idx="15" formatCode="0.0%">
                  <c:v>4.1751824817518268E-2</c:v>
                </c:pt>
                <c:pt idx="16" formatCode="0.0%">
                  <c:v>4.5231143552311392E-2</c:v>
                </c:pt>
                <c:pt idx="17" formatCode="0.0%">
                  <c:v>4.8710462287104628E-2</c:v>
                </c:pt>
                <c:pt idx="18" formatCode="0.0%">
                  <c:v>5.2189781021897752E-2</c:v>
                </c:pt>
                <c:pt idx="19" formatCode="0.0%">
                  <c:v>5.5669099756690987E-2</c:v>
                </c:pt>
                <c:pt idx="20" formatCode="0.0%">
                  <c:v>5.9148418491484223E-2</c:v>
                </c:pt>
                <c:pt idx="21" formatCode="0.0%">
                  <c:v>6.2627737226277347E-2</c:v>
                </c:pt>
                <c:pt idx="22" formatCode="0.0%">
                  <c:v>6.6107055961070582E-2</c:v>
                </c:pt>
                <c:pt idx="23" formatCode="0.0%">
                  <c:v>6.9586374695863706E-2</c:v>
                </c:pt>
                <c:pt idx="24" formatCode="0.0%">
                  <c:v>7.3065693430656942E-2</c:v>
                </c:pt>
                <c:pt idx="25" formatCode="0.0%">
                  <c:v>7.6545012165450177E-2</c:v>
                </c:pt>
                <c:pt idx="26" formatCode="0.0%">
                  <c:v>8.0024330900243301E-2</c:v>
                </c:pt>
                <c:pt idx="27" formatCode="0.0%">
                  <c:v>8.3503649635036536E-2</c:v>
                </c:pt>
                <c:pt idx="28" formatCode="0.0%">
                  <c:v>8.6982968369829772E-2</c:v>
                </c:pt>
                <c:pt idx="29" formatCode="0.0%">
                  <c:v>9.0462287104622896E-2</c:v>
                </c:pt>
                <c:pt idx="30" formatCode="0.0%">
                  <c:v>9.3941605839416131E-2</c:v>
                </c:pt>
                <c:pt idx="31" formatCode="0.0%">
                  <c:v>9.7420924574209256E-2</c:v>
                </c:pt>
                <c:pt idx="32" formatCode="0.0%">
                  <c:v>0.10090024330900249</c:v>
                </c:pt>
                <c:pt idx="33" formatCode="0.0%">
                  <c:v>0.10437956204379573</c:v>
                </c:pt>
              </c:numCache>
            </c:numRef>
          </c:val>
          <c:extLst>
            <c:ext xmlns:c16="http://schemas.microsoft.com/office/drawing/2014/chart" uri="{C3380CC4-5D6E-409C-BE32-E72D297353CC}">
              <c16:uniqueId val="{0000001D-3119-4DD8-BDAA-21587AF2C9CD}"/>
            </c:ext>
          </c:extLst>
        </c:ser>
        <c:ser>
          <c:idx val="7"/>
          <c:order val="5"/>
          <c:tx>
            <c:strRef>
              <c:f>'Main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calculations'!$FG$7:$FG$40</c:f>
              <c:numCache>
                <c:formatCode>0.00%</c:formatCode>
                <c:ptCount val="34"/>
                <c:pt idx="0">
                  <c:v>0</c:v>
                </c:pt>
                <c:pt idx="1">
                  <c:v>0</c:v>
                </c:pt>
                <c:pt idx="2">
                  <c:v>0</c:v>
                </c:pt>
                <c:pt idx="3">
                  <c:v>0</c:v>
                </c:pt>
                <c:pt idx="4" formatCode="0.0%">
                  <c:v>1.6788321167883202E-3</c:v>
                </c:pt>
                <c:pt idx="5" formatCode="0.0%">
                  <c:v>3.3576642335766405E-3</c:v>
                </c:pt>
                <c:pt idx="6" formatCode="0.0%">
                  <c:v>5.0364963503649607E-3</c:v>
                </c:pt>
                <c:pt idx="7" formatCode="0.0%">
                  <c:v>6.7153284671532809E-3</c:v>
                </c:pt>
                <c:pt idx="8" formatCode="0.0%">
                  <c:v>8.3941605839416011E-3</c:v>
                </c:pt>
                <c:pt idx="9" formatCode="0.0%">
                  <c:v>1.0072992700729921E-2</c:v>
                </c:pt>
                <c:pt idx="10" formatCode="0.0%">
                  <c:v>1.1751824817518242E-2</c:v>
                </c:pt>
                <c:pt idx="11" formatCode="0.0%">
                  <c:v>1.3430656934306562E-2</c:v>
                </c:pt>
                <c:pt idx="12" formatCode="0.0%">
                  <c:v>1.5109489051094882E-2</c:v>
                </c:pt>
                <c:pt idx="13" formatCode="0.0%">
                  <c:v>1.6788321167883202E-2</c:v>
                </c:pt>
                <c:pt idx="14" formatCode="0.0%">
                  <c:v>1.8467153284671523E-2</c:v>
                </c:pt>
                <c:pt idx="15" formatCode="0.0%">
                  <c:v>2.0145985401459843E-2</c:v>
                </c:pt>
                <c:pt idx="16" formatCode="0.0%">
                  <c:v>2.1824817518248163E-2</c:v>
                </c:pt>
                <c:pt idx="17" formatCode="0.0%">
                  <c:v>2.3503649635036483E-2</c:v>
                </c:pt>
                <c:pt idx="18" formatCode="0.0%">
                  <c:v>2.5182481751824803E-2</c:v>
                </c:pt>
                <c:pt idx="19" formatCode="0.0%">
                  <c:v>2.6861313868613124E-2</c:v>
                </c:pt>
                <c:pt idx="20" formatCode="0.0%">
                  <c:v>2.8540145985401444E-2</c:v>
                </c:pt>
                <c:pt idx="21" formatCode="0.0%">
                  <c:v>3.0218978102189764E-2</c:v>
                </c:pt>
                <c:pt idx="22" formatCode="0.0%">
                  <c:v>3.1897810218978084E-2</c:v>
                </c:pt>
                <c:pt idx="23" formatCode="0.0%">
                  <c:v>3.3576642335766405E-2</c:v>
                </c:pt>
                <c:pt idx="24" formatCode="0.0%">
                  <c:v>3.5255474452554725E-2</c:v>
                </c:pt>
                <c:pt idx="25" formatCode="0.0%">
                  <c:v>3.6934306569343045E-2</c:v>
                </c:pt>
                <c:pt idx="26" formatCode="0.0%">
                  <c:v>3.8613138686131365E-2</c:v>
                </c:pt>
                <c:pt idx="27" formatCode="0.0%">
                  <c:v>4.0291970802919685E-2</c:v>
                </c:pt>
                <c:pt idx="28" formatCode="0.0%">
                  <c:v>4.1970802919708006E-2</c:v>
                </c:pt>
                <c:pt idx="29" formatCode="0.0%">
                  <c:v>4.3649635036496326E-2</c:v>
                </c:pt>
                <c:pt idx="30" formatCode="0.0%">
                  <c:v>4.5328467153284646E-2</c:v>
                </c:pt>
                <c:pt idx="31" formatCode="0.0%">
                  <c:v>4.7007299270072966E-2</c:v>
                </c:pt>
                <c:pt idx="32" formatCode="0.0%">
                  <c:v>4.8686131386861287E-2</c:v>
                </c:pt>
                <c:pt idx="33" formatCode="0.0%">
                  <c:v>5.0364963503649607E-2</c:v>
                </c:pt>
              </c:numCache>
            </c:numRef>
          </c:val>
          <c:extLst>
            <c:ext xmlns:c16="http://schemas.microsoft.com/office/drawing/2014/chart" uri="{C3380CC4-5D6E-409C-BE32-E72D297353CC}">
              <c16:uniqueId val="{00000007-3119-4DD8-BDAA-21587AF2C9CD}"/>
            </c:ext>
          </c:extLst>
        </c:ser>
        <c:ser>
          <c:idx val="5"/>
          <c:order val="6"/>
          <c:tx>
            <c:strRef>
              <c:f>'Main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3.2142857142857251E-3</c:v>
                </c:pt>
                <c:pt idx="14" formatCode="0.0%">
                  <c:v>6.4285714285714501E-3</c:v>
                </c:pt>
                <c:pt idx="15" formatCode="0.0%">
                  <c:v>9.6428571428571752E-3</c:v>
                </c:pt>
                <c:pt idx="16" formatCode="0.0%">
                  <c:v>1.28571428571429E-2</c:v>
                </c:pt>
                <c:pt idx="17" formatCode="0.0%">
                  <c:v>1.6071428571428625E-2</c:v>
                </c:pt>
                <c:pt idx="18" formatCode="0.0%">
                  <c:v>1.9285714285714239E-2</c:v>
                </c:pt>
                <c:pt idx="19" formatCode="0.0%">
                  <c:v>2.2499999999999964E-2</c:v>
                </c:pt>
                <c:pt idx="20" formatCode="0.0%">
                  <c:v>2.571428571428569E-2</c:v>
                </c:pt>
                <c:pt idx="21" formatCode="0.0%">
                  <c:v>2.8928571428571415E-2</c:v>
                </c:pt>
                <c:pt idx="22" formatCode="0.0%">
                  <c:v>3.214285714285714E-2</c:v>
                </c:pt>
                <c:pt idx="23" formatCode="0.0%">
                  <c:v>3.5357142857142865E-2</c:v>
                </c:pt>
                <c:pt idx="24" formatCode="0.0%">
                  <c:v>3.857142857142859E-2</c:v>
                </c:pt>
                <c:pt idx="25" formatCode="0.0%">
                  <c:v>4.1785714285714315E-2</c:v>
                </c:pt>
                <c:pt idx="26" formatCode="0.0%">
                  <c:v>4.500000000000004E-2</c:v>
                </c:pt>
                <c:pt idx="27" formatCode="0.0%">
                  <c:v>4.8214285714285765E-2</c:v>
                </c:pt>
                <c:pt idx="28" formatCode="0.0%">
                  <c:v>5.1428571428571379E-2</c:v>
                </c:pt>
                <c:pt idx="29" formatCode="0.0%">
                  <c:v>5.4642857142857104E-2</c:v>
                </c:pt>
                <c:pt idx="30" formatCode="0.0%">
                  <c:v>5.7857142857142829E-2</c:v>
                </c:pt>
                <c:pt idx="31" formatCode="0.0%">
                  <c:v>6.1071428571428554E-2</c:v>
                </c:pt>
                <c:pt idx="32" formatCode="0.0%">
                  <c:v>6.4285714285714279E-2</c:v>
                </c:pt>
                <c:pt idx="33" formatCode="0.0%">
                  <c:v>6.7500000000000004E-2</c:v>
                </c:pt>
              </c:numCache>
            </c:numRef>
          </c:val>
          <c:extLst>
            <c:ext xmlns:c16="http://schemas.microsoft.com/office/drawing/2014/chart" uri="{C3380CC4-5D6E-409C-BE32-E72D297353CC}">
              <c16:uniqueId val="{00000005-3119-4DD8-BDAA-21587AF2C9CD}"/>
            </c:ext>
          </c:extLst>
        </c:ser>
        <c:ser>
          <c:idx val="9"/>
          <c:order val="7"/>
          <c:tx>
            <c:strRef>
              <c:f>'Main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8.6538461538465672E-4</c:v>
                </c:pt>
                <c:pt idx="9" formatCode="0.0%">
                  <c:v>1.7307692307692024E-3</c:v>
                </c:pt>
                <c:pt idx="10" formatCode="0.0%">
                  <c:v>2.5961538461538591E-3</c:v>
                </c:pt>
                <c:pt idx="11" formatCode="0.0%">
                  <c:v>3.4615384615385159E-3</c:v>
                </c:pt>
                <c:pt idx="12" formatCode="0.0%">
                  <c:v>4.3269230769230616E-3</c:v>
                </c:pt>
                <c:pt idx="13" formatCode="0.0%">
                  <c:v>5.1923076923077183E-3</c:v>
                </c:pt>
                <c:pt idx="14" formatCode="0.0%">
                  <c:v>6.057692307692264E-3</c:v>
                </c:pt>
                <c:pt idx="15" formatCode="0.0%">
                  <c:v>6.9230769230769207E-3</c:v>
                </c:pt>
                <c:pt idx="16" formatCode="0.0%">
                  <c:v>7.7884615384615774E-3</c:v>
                </c:pt>
                <c:pt idx="17" formatCode="0.0%">
                  <c:v>8.6538461538461231E-3</c:v>
                </c:pt>
                <c:pt idx="18" formatCode="0.0%">
                  <c:v>9.5192307692307798E-3</c:v>
                </c:pt>
                <c:pt idx="19" formatCode="0.0%">
                  <c:v>1.0384615384615437E-2</c:v>
                </c:pt>
                <c:pt idx="20" formatCode="0.0%">
                  <c:v>1.1249999999999982E-2</c:v>
                </c:pt>
                <c:pt idx="21" formatCode="0.0%">
                  <c:v>1.2115384615384639E-2</c:v>
                </c:pt>
                <c:pt idx="22" formatCode="0.0%">
                  <c:v>1.2980769230769185E-2</c:v>
                </c:pt>
                <c:pt idx="23" formatCode="0.0%">
                  <c:v>1.3846153846153841E-2</c:v>
                </c:pt>
                <c:pt idx="24" formatCode="0.0%">
                  <c:v>1.4711538461538498E-2</c:v>
                </c:pt>
                <c:pt idx="25" formatCode="0.0%">
                  <c:v>1.5576923076923044E-2</c:v>
                </c:pt>
                <c:pt idx="26" formatCode="0.0%">
                  <c:v>1.6442307692307701E-2</c:v>
                </c:pt>
                <c:pt idx="27" formatCode="0.0%">
                  <c:v>1.7307692307692357E-2</c:v>
                </c:pt>
                <c:pt idx="28" formatCode="0.0%">
                  <c:v>1.8173076923076903E-2</c:v>
                </c:pt>
                <c:pt idx="29" formatCode="0.0%">
                  <c:v>1.903846153846156E-2</c:v>
                </c:pt>
                <c:pt idx="30" formatCode="0.0%">
                  <c:v>1.9903846153846105E-2</c:v>
                </c:pt>
                <c:pt idx="31" formatCode="0.0%">
                  <c:v>2.0769230769230762E-2</c:v>
                </c:pt>
                <c:pt idx="32" formatCode="0.0%">
                  <c:v>2.1634615384615419E-2</c:v>
                </c:pt>
                <c:pt idx="33" formatCode="0.0%">
                  <c:v>2.2499999999999964E-2</c:v>
                </c:pt>
              </c:numCache>
            </c:numRef>
          </c:val>
          <c:extLst>
            <c:ext xmlns:c16="http://schemas.microsoft.com/office/drawing/2014/chart" uri="{C3380CC4-5D6E-409C-BE32-E72D297353CC}">
              <c16:uniqueId val="{0000000A-3119-4DD8-BDAA-21587AF2C9CD}"/>
            </c:ext>
          </c:extLst>
        </c:ser>
        <c:ser>
          <c:idx val="6"/>
          <c:order val="8"/>
          <c:tx>
            <c:strRef>
              <c:f>'Main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calculations'!$FJ$7:$FJ$40</c:f>
              <c:numCache>
                <c:formatCode>0.00%</c:formatCode>
                <c:ptCount val="34"/>
                <c:pt idx="0">
                  <c:v>0</c:v>
                </c:pt>
                <c:pt idx="1">
                  <c:v>0</c:v>
                </c:pt>
                <c:pt idx="2">
                  <c:v>0</c:v>
                </c:pt>
                <c:pt idx="3">
                  <c:v>0</c:v>
                </c:pt>
                <c:pt idx="4" formatCode="0.0%">
                  <c:v>0</c:v>
                </c:pt>
                <c:pt idx="5" formatCode="0.0%">
                  <c:v>0</c:v>
                </c:pt>
                <c:pt idx="6" formatCode="0.0%">
                  <c:v>2.4999999999997247E-4</c:v>
                </c:pt>
                <c:pt idx="7" formatCode="0.0%">
                  <c:v>4.9999999999994493E-4</c:v>
                </c:pt>
                <c:pt idx="8" formatCode="0.0%">
                  <c:v>7.5000000000002842E-4</c:v>
                </c:pt>
                <c:pt idx="9" formatCode="0.0%">
                  <c:v>1.0000000000000009E-3</c:v>
                </c:pt>
                <c:pt idx="10" formatCode="0.0%">
                  <c:v>1.2499999999999734E-3</c:v>
                </c:pt>
                <c:pt idx="11" formatCode="0.0%">
                  <c:v>1.4999999999999458E-3</c:v>
                </c:pt>
                <c:pt idx="12" formatCode="0.0%">
                  <c:v>1.7500000000000293E-3</c:v>
                </c:pt>
                <c:pt idx="13" formatCode="0.0%">
                  <c:v>2.0000000000000018E-3</c:v>
                </c:pt>
                <c:pt idx="14" formatCode="0.0%">
                  <c:v>2.2499999999999742E-3</c:v>
                </c:pt>
                <c:pt idx="15" formatCode="0.0%">
                  <c:v>2.4999999999999467E-3</c:v>
                </c:pt>
                <c:pt idx="16" formatCode="0.0%">
                  <c:v>2.7500000000000302E-3</c:v>
                </c:pt>
                <c:pt idx="17" formatCode="0.0%">
                  <c:v>3.0000000000000027E-3</c:v>
                </c:pt>
                <c:pt idx="18" formatCode="0.0%">
                  <c:v>3.2499999999999751E-3</c:v>
                </c:pt>
                <c:pt idx="19" formatCode="0.0%">
                  <c:v>3.4999999999999476E-3</c:v>
                </c:pt>
                <c:pt idx="20" formatCode="0.0%">
                  <c:v>3.7500000000000311E-3</c:v>
                </c:pt>
                <c:pt idx="21" formatCode="0.0%">
                  <c:v>4.0000000000000036E-3</c:v>
                </c:pt>
                <c:pt idx="22" formatCode="0.0%">
                  <c:v>4.249999999999976E-3</c:v>
                </c:pt>
                <c:pt idx="23" formatCode="0.0%">
                  <c:v>4.4999999999999485E-3</c:v>
                </c:pt>
                <c:pt idx="24" formatCode="0.0%">
                  <c:v>4.750000000000032E-3</c:v>
                </c:pt>
                <c:pt idx="25" formatCode="0.0%">
                  <c:v>5.0000000000000044E-3</c:v>
                </c:pt>
                <c:pt idx="26" formatCode="0.0%">
                  <c:v>5.2499999999999769E-3</c:v>
                </c:pt>
                <c:pt idx="27" formatCode="0.0%">
                  <c:v>5.4999999999999494E-3</c:v>
                </c:pt>
                <c:pt idx="28" formatCode="0.0%">
                  <c:v>5.7500000000000329E-3</c:v>
                </c:pt>
                <c:pt idx="29" formatCode="0.0%">
                  <c:v>6.0000000000000053E-3</c:v>
                </c:pt>
                <c:pt idx="30" formatCode="0.0%">
                  <c:v>6.2499999999999778E-3</c:v>
                </c:pt>
                <c:pt idx="31" formatCode="0.0%">
                  <c:v>6.4999999999999503E-3</c:v>
                </c:pt>
                <c:pt idx="32" formatCode="0.0%">
                  <c:v>6.7500000000000338E-3</c:v>
                </c:pt>
                <c:pt idx="33" formatCode="0.0%">
                  <c:v>7.0000000000000062E-3</c:v>
                </c:pt>
              </c:numCache>
            </c:numRef>
          </c:val>
          <c:extLst>
            <c:ext xmlns:c16="http://schemas.microsoft.com/office/drawing/2014/chart" uri="{C3380CC4-5D6E-409C-BE32-E72D297353CC}">
              <c16:uniqueId val="{00000006-3119-4DD8-BDAA-21587AF2C9CD}"/>
            </c:ext>
          </c:extLst>
        </c:ser>
        <c:ser>
          <c:idx val="3"/>
          <c:order val="9"/>
          <c:tx>
            <c:strRef>
              <c:f>'Main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calculations'!$FK$7:$FK$40</c:f>
              <c:numCache>
                <c:formatCode>0.00%</c:formatCode>
                <c:ptCount val="34"/>
                <c:pt idx="0">
                  <c:v>0</c:v>
                </c:pt>
                <c:pt idx="1">
                  <c:v>0</c:v>
                </c:pt>
                <c:pt idx="2">
                  <c:v>0</c:v>
                </c:pt>
                <c:pt idx="3">
                  <c:v>0</c:v>
                </c:pt>
                <c:pt idx="4" formatCode="0.0%">
                  <c:v>9.5999999999996088E-4</c:v>
                </c:pt>
                <c:pt idx="5" formatCode="0.0%">
                  <c:v>1.9200000000000328E-3</c:v>
                </c:pt>
                <c:pt idx="6" formatCode="0.0%">
                  <c:v>2.8799999999999937E-3</c:v>
                </c:pt>
                <c:pt idx="7" formatCode="0.0%">
                  <c:v>3.8399999999999546E-3</c:v>
                </c:pt>
                <c:pt idx="8" formatCode="0.0%">
                  <c:v>4.8000000000000265E-3</c:v>
                </c:pt>
                <c:pt idx="9" formatCode="0.0%">
                  <c:v>5.7599999999999874E-3</c:v>
                </c:pt>
                <c:pt idx="10" formatCode="0.0%">
                  <c:v>6.7199999999999482E-3</c:v>
                </c:pt>
                <c:pt idx="11" formatCode="0.0%">
                  <c:v>7.6800000000000201E-3</c:v>
                </c:pt>
                <c:pt idx="12" formatCode="0.0%">
                  <c:v>8.639999999999981E-3</c:v>
                </c:pt>
                <c:pt idx="13" formatCode="0.0%">
                  <c:v>9.6000000000000529E-3</c:v>
                </c:pt>
                <c:pt idx="14" formatCode="0.0%">
                  <c:v>1.0560000000000014E-2</c:v>
                </c:pt>
                <c:pt idx="15" formatCode="0.0%">
                  <c:v>1.1519999999999975E-2</c:v>
                </c:pt>
                <c:pt idx="16" formatCode="0.0%">
                  <c:v>1.2480000000000047E-2</c:v>
                </c:pt>
                <c:pt idx="17" formatCode="0.0%">
                  <c:v>1.3440000000000007E-2</c:v>
                </c:pt>
                <c:pt idx="18" formatCode="0.0%">
                  <c:v>1.4399999999999968E-2</c:v>
                </c:pt>
                <c:pt idx="19" formatCode="0.0%">
                  <c:v>1.536000000000004E-2</c:v>
                </c:pt>
                <c:pt idx="20" formatCode="0.0%">
                  <c:v>1.6320000000000001E-2</c:v>
                </c:pt>
                <c:pt idx="21" formatCode="0.0%">
                  <c:v>1.7279999999999962E-2</c:v>
                </c:pt>
                <c:pt idx="22" formatCode="0.0%">
                  <c:v>1.8240000000000034E-2</c:v>
                </c:pt>
                <c:pt idx="23" formatCode="0.0%">
                  <c:v>1.9199999999999995E-2</c:v>
                </c:pt>
                <c:pt idx="24" formatCode="0.0%">
                  <c:v>2.0159999999999956E-2</c:v>
                </c:pt>
                <c:pt idx="25" formatCode="0.0%">
                  <c:v>2.1120000000000028E-2</c:v>
                </c:pt>
                <c:pt idx="26" formatCode="0.0%">
                  <c:v>2.2079999999999989E-2</c:v>
                </c:pt>
                <c:pt idx="27" formatCode="0.0%">
                  <c:v>2.3039999999999949E-2</c:v>
                </c:pt>
                <c:pt idx="28" formatCode="0.0%">
                  <c:v>2.4000000000000021E-2</c:v>
                </c:pt>
                <c:pt idx="29" formatCode="0.0%">
                  <c:v>2.4959999999999982E-2</c:v>
                </c:pt>
                <c:pt idx="30" formatCode="0.0%">
                  <c:v>2.5919999999999943E-2</c:v>
                </c:pt>
                <c:pt idx="31" formatCode="0.0%">
                  <c:v>2.6880000000000015E-2</c:v>
                </c:pt>
                <c:pt idx="32" formatCode="0.0%">
                  <c:v>2.7839999999999976E-2</c:v>
                </c:pt>
                <c:pt idx="33" formatCode="0.0%">
                  <c:v>2.8799999999999937E-2</c:v>
                </c:pt>
              </c:numCache>
            </c:numRef>
          </c:val>
          <c:extLst>
            <c:ext xmlns:c16="http://schemas.microsoft.com/office/drawing/2014/chart" uri="{C3380CC4-5D6E-409C-BE32-E72D297353CC}">
              <c16:uniqueId val="{0000001E-3119-4DD8-BDAA-21587AF2C9C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02-3119-4DD8-BDAA-21587AF2C9CD}"/>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F-3119-4DD8-BDAA-21587AF2C9CD}"/>
              </c:ext>
            </c:extLst>
          </c:dPt>
          <c:dLbls>
            <c:dLbl>
              <c:idx val="3"/>
              <c:layout>
                <c:manualLayout>
                  <c:x val="-3.9204877563181535E-2"/>
                  <c:y val="0.31823915894335314"/>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2141830674909949"/>
                      <c:h val="2.4749568359147243E-2"/>
                    </c:manualLayout>
                  </c15:layout>
                </c:ext>
                <c:ext xmlns:c16="http://schemas.microsoft.com/office/drawing/2014/chart" uri="{C3380CC4-5D6E-409C-BE32-E72D297353CC}">
                  <c16:uniqueId val="{0000001F-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0B-3119-4DD8-BDAA-21587AF2C9C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8-3119-4DD8-BDAA-21587AF2C9C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10%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calculations'!$HX$6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calculations'!$HX$7:$HX$40</c:f>
              <c:numCache>
                <c:formatCode>0%</c:formatCode>
                <c:ptCount val="34"/>
                <c:pt idx="0">
                  <c:v>1</c:v>
                </c:pt>
                <c:pt idx="1">
                  <c:v>0.98333333333333328</c:v>
                </c:pt>
                <c:pt idx="2">
                  <c:v>0.96666666666666656</c:v>
                </c:pt>
                <c:pt idx="3" formatCode="0.00%">
                  <c:v>0.95</c:v>
                </c:pt>
                <c:pt idx="4" formatCode="0.00%">
                  <c:v>0.93404941176470579</c:v>
                </c:pt>
                <c:pt idx="5" formatCode="0.00%">
                  <c:v>0.91809882352941174</c:v>
                </c:pt>
                <c:pt idx="6" formatCode="0.00%">
                  <c:v>0.90143645080329637</c:v>
                </c:pt>
                <c:pt idx="7" formatCode="0.00%">
                  <c:v>0.88472892844239848</c:v>
                </c:pt>
                <c:pt idx="8" formatCode="0.00%">
                  <c:v>0.86711087183133317</c:v>
                </c:pt>
                <c:pt idx="9" formatCode="0.00%">
                  <c:v>0.84944766558548546</c:v>
                </c:pt>
                <c:pt idx="10" formatCode="0.00%">
                  <c:v>0.83173930970485499</c:v>
                </c:pt>
                <c:pt idx="11" formatCode="0.00%">
                  <c:v>0.81398580418944178</c:v>
                </c:pt>
                <c:pt idx="12" formatCode="0.00%">
                  <c:v>0.79618714903924626</c:v>
                </c:pt>
                <c:pt idx="13" formatCode="0.00%">
                  <c:v>0.77512905853998226</c:v>
                </c:pt>
                <c:pt idx="14" formatCode="0.00%">
                  <c:v>0.75402581840593585</c:v>
                </c:pt>
                <c:pt idx="15" formatCode="0.00%">
                  <c:v>0.73287742863710659</c:v>
                </c:pt>
                <c:pt idx="16" formatCode="0.00%">
                  <c:v>0.71168388923349479</c:v>
                </c:pt>
                <c:pt idx="17" formatCode="0.00%">
                  <c:v>0.69044520019510036</c:v>
                </c:pt>
                <c:pt idx="18" formatCode="0.00%">
                  <c:v>0.66916136152192351</c:v>
                </c:pt>
                <c:pt idx="19" formatCode="0.00%">
                  <c:v>0.6478323732139637</c:v>
                </c:pt>
                <c:pt idx="20" formatCode="0.00%">
                  <c:v>0.62645823527122146</c:v>
                </c:pt>
                <c:pt idx="21" formatCode="0.00%">
                  <c:v>0.6100295359289909</c:v>
                </c:pt>
                <c:pt idx="22" formatCode="0.00%">
                  <c:v>0.59355568695197747</c:v>
                </c:pt>
                <c:pt idx="23" formatCode="0.00%">
                  <c:v>0.57703668834018162</c:v>
                </c:pt>
                <c:pt idx="24" formatCode="0.00%">
                  <c:v>0.56047254009360303</c:v>
                </c:pt>
                <c:pt idx="25" formatCode="0.00%">
                  <c:v>0.54386324221224158</c:v>
                </c:pt>
                <c:pt idx="26" formatCode="0.00%">
                  <c:v>0.52720879469609816</c:v>
                </c:pt>
                <c:pt idx="27" formatCode="0.00%">
                  <c:v>0.51050919754517177</c:v>
                </c:pt>
                <c:pt idx="28" formatCode="0.00%">
                  <c:v>0.49376445075946251</c:v>
                </c:pt>
                <c:pt idx="29" formatCode="0.00%">
                  <c:v>0.47697455433897107</c:v>
                </c:pt>
                <c:pt idx="30" formatCode="0.00%">
                  <c:v>0.4601395082836971</c:v>
                </c:pt>
                <c:pt idx="31" formatCode="0.00%">
                  <c:v>0.44325931259364004</c:v>
                </c:pt>
                <c:pt idx="32" formatCode="0.00%">
                  <c:v>0.42633396726880057</c:v>
                </c:pt>
                <c:pt idx="33" formatCode="0.00%">
                  <c:v>0.40936347230917869</c:v>
                </c:pt>
              </c:numCache>
            </c:numRef>
          </c:val>
          <c:extLst>
            <c:ext xmlns:c16="http://schemas.microsoft.com/office/drawing/2014/chart" uri="{C3380CC4-5D6E-409C-BE32-E72D297353CC}">
              <c16:uniqueId val="{00000001-3119-4DD8-BDAA-21587AF2C9CD}"/>
            </c:ext>
          </c:extLst>
        </c:ser>
        <c:ser>
          <c:idx val="11"/>
          <c:order val="1"/>
          <c:tx>
            <c:strRef>
              <c:f>'Main calculations'!$HZ$6</c:f>
              <c:strCache>
                <c:ptCount val="1"/>
                <c:pt idx="0">
                  <c:v>10%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calculations'!$HZ$7:$HZ$40</c:f>
              <c:numCache>
                <c:formatCode>0.00%</c:formatCode>
                <c:ptCount val="34"/>
                <c:pt idx="0">
                  <c:v>0</c:v>
                </c:pt>
                <c:pt idx="1">
                  <c:v>0</c:v>
                </c:pt>
                <c:pt idx="2">
                  <c:v>0</c:v>
                </c:pt>
                <c:pt idx="3">
                  <c:v>0</c:v>
                </c:pt>
                <c:pt idx="4" formatCode="0.0%">
                  <c:v>0</c:v>
                </c:pt>
                <c:pt idx="5" formatCode="0.0%">
                  <c:v>0</c:v>
                </c:pt>
                <c:pt idx="6" formatCode="0.0%">
                  <c:v>7.7600671304347733E-4</c:v>
                </c:pt>
                <c:pt idx="7" formatCode="0.0%">
                  <c:v>1.5971630608695635E-3</c:v>
                </c:pt>
                <c:pt idx="8" formatCode="0.0%">
                  <c:v>2.4634690434782581E-3</c:v>
                </c:pt>
                <c:pt idx="9" formatCode="0.0%">
                  <c:v>3.3749246608695618E-3</c:v>
                </c:pt>
                <c:pt idx="10" formatCode="0.0%">
                  <c:v>4.3315299130434739E-3</c:v>
                </c:pt>
                <c:pt idx="11" formatCode="0.0%">
                  <c:v>5.3332847999999948E-3</c:v>
                </c:pt>
                <c:pt idx="12" formatCode="0.0%">
                  <c:v>6.3801893217391246E-3</c:v>
                </c:pt>
                <c:pt idx="13" formatCode="0.0%">
                  <c:v>7.4722434782608623E-3</c:v>
                </c:pt>
                <c:pt idx="14" formatCode="0.0%">
                  <c:v>8.6094472695652097E-3</c:v>
                </c:pt>
                <c:pt idx="15" formatCode="0.0%">
                  <c:v>9.7918006956521642E-3</c:v>
                </c:pt>
                <c:pt idx="16" formatCode="0.0%">
                  <c:v>1.101930375652173E-2</c:v>
                </c:pt>
                <c:pt idx="17" formatCode="0.0%">
                  <c:v>1.2291956452173904E-2</c:v>
                </c:pt>
                <c:pt idx="18" formatCode="0.0%">
                  <c:v>1.3609758782608686E-2</c:v>
                </c:pt>
                <c:pt idx="19" formatCode="0.0%">
                  <c:v>1.4972710747826076E-2</c:v>
                </c:pt>
                <c:pt idx="20" formatCode="0.0%">
                  <c:v>1.6380812347826075E-2</c:v>
                </c:pt>
                <c:pt idx="21" formatCode="0.0%">
                  <c:v>1.7834063582608681E-2</c:v>
                </c:pt>
                <c:pt idx="22" formatCode="0.0%">
                  <c:v>1.93324644521739E-2</c:v>
                </c:pt>
                <c:pt idx="23" formatCode="0.0%">
                  <c:v>2.0876014956521725E-2</c:v>
                </c:pt>
                <c:pt idx="24" formatCode="0.0%">
                  <c:v>2.2464715095652156E-2</c:v>
                </c:pt>
                <c:pt idx="25" formatCode="0.0%">
                  <c:v>2.40985648695652E-2</c:v>
                </c:pt>
                <c:pt idx="26" formatCode="0.0%">
                  <c:v>2.5777564278260851E-2</c:v>
                </c:pt>
                <c:pt idx="27" formatCode="0.0%">
                  <c:v>2.7501713321739112E-2</c:v>
                </c:pt>
                <c:pt idx="28" formatCode="0.0%">
                  <c:v>2.9271011999999978E-2</c:v>
                </c:pt>
                <c:pt idx="29" formatCode="0.0%">
                  <c:v>3.1085460313043461E-2</c:v>
                </c:pt>
                <c:pt idx="30" formatCode="0.0%">
                  <c:v>3.2945058260869547E-2</c:v>
                </c:pt>
                <c:pt idx="31" formatCode="0.0%">
                  <c:v>3.484980584347825E-2</c:v>
                </c:pt>
                <c:pt idx="32" formatCode="0.0%">
                  <c:v>3.6799703060869556E-2</c:v>
                </c:pt>
                <c:pt idx="33" formatCode="0.0%">
                  <c:v>3.8794749913043471E-2</c:v>
                </c:pt>
              </c:numCache>
            </c:numRef>
          </c:val>
          <c:extLst>
            <c:ext xmlns:c16="http://schemas.microsoft.com/office/drawing/2014/chart" uri="{C3380CC4-5D6E-409C-BE32-E72D297353CC}">
              <c16:uniqueId val="{0000001A-3119-4DD8-BDAA-21587AF2C9CD}"/>
            </c:ext>
          </c:extLst>
        </c:ser>
        <c:ser>
          <c:idx val="4"/>
          <c:order val="2"/>
          <c:tx>
            <c:strRef>
              <c:f>'Main calculations'!$IA$6</c:f>
              <c:strCache>
                <c:ptCount val="1"/>
                <c:pt idx="0">
                  <c:v>ICE fuel efficiency@10%BEV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calculations'!$IA$7:$IA$40</c:f>
              <c:numCache>
                <c:formatCode>0.00%</c:formatCode>
                <c:ptCount val="34"/>
                <c:pt idx="0">
                  <c:v>0</c:v>
                </c:pt>
                <c:pt idx="1">
                  <c:v>0</c:v>
                </c:pt>
                <c:pt idx="2">
                  <c:v>0</c:v>
                </c:pt>
                <c:pt idx="3">
                  <c:v>0</c:v>
                </c:pt>
                <c:pt idx="4" formatCode="0.0%">
                  <c:v>4.9905882352941156E-3</c:v>
                </c:pt>
                <c:pt idx="5" formatCode="0.0%">
                  <c:v>9.9811764705882312E-3</c:v>
                </c:pt>
                <c:pt idx="6" formatCode="0.0%">
                  <c:v>1.4657542483660125E-2</c:v>
                </c:pt>
                <c:pt idx="7" formatCode="0.0%">
                  <c:v>1.9333908496732017E-2</c:v>
                </c:pt>
                <c:pt idx="8" formatCode="0.0%">
                  <c:v>2.4010274509803912E-2</c:v>
                </c:pt>
                <c:pt idx="9" formatCode="0.0%">
                  <c:v>2.8686640522875805E-2</c:v>
                </c:pt>
                <c:pt idx="10" formatCode="0.0%">
                  <c:v>3.3363006535947697E-2</c:v>
                </c:pt>
                <c:pt idx="11" formatCode="0.0%">
                  <c:v>3.8039372549019596E-2</c:v>
                </c:pt>
                <c:pt idx="12" formatCode="0.0%">
                  <c:v>4.2715738562091488E-2</c:v>
                </c:pt>
                <c:pt idx="13" formatCode="0.0%">
                  <c:v>4.739210457516338E-2</c:v>
                </c:pt>
                <c:pt idx="14" formatCode="0.0%">
                  <c:v>5.2068470588235272E-2</c:v>
                </c:pt>
                <c:pt idx="15" formatCode="0.0%">
                  <c:v>5.6744836601307164E-2</c:v>
                </c:pt>
                <c:pt idx="16" formatCode="0.0%">
                  <c:v>6.1421202614379056E-2</c:v>
                </c:pt>
                <c:pt idx="17" formatCode="0.0%">
                  <c:v>6.6097568627450948E-2</c:v>
                </c:pt>
                <c:pt idx="18" formatCode="0.0%">
                  <c:v>7.0773934640522854E-2</c:v>
                </c:pt>
                <c:pt idx="19" formatCode="0.0%">
                  <c:v>7.545030065359476E-2</c:v>
                </c:pt>
                <c:pt idx="20" formatCode="0.0%">
                  <c:v>8.0126666666666652E-2</c:v>
                </c:pt>
                <c:pt idx="21" formatCode="0.0%">
                  <c:v>7.9812444444444422E-2</c:v>
                </c:pt>
                <c:pt idx="22" formatCode="0.0%">
                  <c:v>7.9498222222222192E-2</c:v>
                </c:pt>
                <c:pt idx="23" formatCode="0.0%">
                  <c:v>7.9183999999999977E-2</c:v>
                </c:pt>
                <c:pt idx="24" formatCode="0.0%">
                  <c:v>7.8869777777777747E-2</c:v>
                </c:pt>
                <c:pt idx="25" formatCode="0.0%">
                  <c:v>7.8555555555555531E-2</c:v>
                </c:pt>
                <c:pt idx="26" formatCode="0.0%">
                  <c:v>7.8241333333333302E-2</c:v>
                </c:pt>
                <c:pt idx="27" formatCode="0.0%">
                  <c:v>7.7927111111111086E-2</c:v>
                </c:pt>
                <c:pt idx="28" formatCode="0.0%">
                  <c:v>7.761288888888887E-2</c:v>
                </c:pt>
                <c:pt idx="29" formatCode="0.0%">
                  <c:v>7.7298666666666641E-2</c:v>
                </c:pt>
                <c:pt idx="30" formatCode="0.0%">
                  <c:v>7.6984444444444425E-2</c:v>
                </c:pt>
                <c:pt idx="31" formatCode="0.0%">
                  <c:v>7.6670222222222195E-2</c:v>
                </c:pt>
                <c:pt idx="32" formatCode="0.0%">
                  <c:v>7.6355999999999979E-2</c:v>
                </c:pt>
                <c:pt idx="33" formatCode="0.0%">
                  <c:v>7.604177777777775E-2</c:v>
                </c:pt>
              </c:numCache>
            </c:numRef>
          </c:val>
          <c:extLst>
            <c:ext xmlns:c16="http://schemas.microsoft.com/office/drawing/2014/chart" uri="{C3380CC4-5D6E-409C-BE32-E72D297353CC}">
              <c16:uniqueId val="{00000004-3119-4DD8-BDAA-21587AF2C9CD}"/>
            </c:ext>
          </c:extLst>
        </c:ser>
        <c:ser>
          <c:idx val="0"/>
          <c:order val="3"/>
          <c:tx>
            <c:strRef>
              <c:f>'Main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calculations'!$FE$7:$FE$40</c:f>
              <c:numCache>
                <c:formatCode>0.00%</c:formatCode>
                <c:ptCount val="34"/>
                <c:pt idx="0">
                  <c:v>0</c:v>
                </c:pt>
                <c:pt idx="1">
                  <c:v>0</c:v>
                </c:pt>
                <c:pt idx="2">
                  <c:v>0</c:v>
                </c:pt>
                <c:pt idx="3">
                  <c:v>0</c:v>
                </c:pt>
                <c:pt idx="4" formatCode="0.0%">
                  <c:v>8.1751824817518637E-3</c:v>
                </c:pt>
                <c:pt idx="5" formatCode="0.0%">
                  <c:v>1.6350364963503616E-2</c:v>
                </c:pt>
                <c:pt idx="6" formatCode="0.0%">
                  <c:v>2.452554744525548E-2</c:v>
                </c:pt>
                <c:pt idx="7" formatCode="0.0%">
                  <c:v>3.2700729927007344E-2</c:v>
                </c:pt>
                <c:pt idx="8" formatCode="0.0%">
                  <c:v>4.0875912408759096E-2</c:v>
                </c:pt>
                <c:pt idx="9" formatCode="0.0%">
                  <c:v>4.905109489051096E-2</c:v>
                </c:pt>
                <c:pt idx="10" formatCode="0.0%">
                  <c:v>5.7226277372262824E-2</c:v>
                </c:pt>
                <c:pt idx="11" formatCode="0.0%">
                  <c:v>6.5401459854014576E-2</c:v>
                </c:pt>
                <c:pt idx="12" formatCode="0.0%">
                  <c:v>7.357664233576644E-2</c:v>
                </c:pt>
                <c:pt idx="13" formatCode="0.0%">
                  <c:v>8.1751824817518193E-2</c:v>
                </c:pt>
                <c:pt idx="14" formatCode="0.0%">
                  <c:v>8.9927007299270056E-2</c:v>
                </c:pt>
                <c:pt idx="15" formatCode="0.0%">
                  <c:v>9.810218978102192E-2</c:v>
                </c:pt>
                <c:pt idx="16" formatCode="0.0%">
                  <c:v>0.10627737226277367</c:v>
                </c:pt>
                <c:pt idx="17" formatCode="0.0%">
                  <c:v>0.11445255474452554</c:v>
                </c:pt>
                <c:pt idx="18" formatCode="0.0%">
                  <c:v>0.1226277372262774</c:v>
                </c:pt>
                <c:pt idx="19" formatCode="0.0%">
                  <c:v>0.13080291970802915</c:v>
                </c:pt>
                <c:pt idx="20" formatCode="0.0%">
                  <c:v>0.13897810218978102</c:v>
                </c:pt>
                <c:pt idx="21" formatCode="0.0%">
                  <c:v>0.14715328467153288</c:v>
                </c:pt>
                <c:pt idx="22" formatCode="0.0%">
                  <c:v>0.15532846715328463</c:v>
                </c:pt>
                <c:pt idx="23" formatCode="0.0%">
                  <c:v>0.1635036496350365</c:v>
                </c:pt>
                <c:pt idx="24" formatCode="0.0%">
                  <c:v>0.17167883211678836</c:v>
                </c:pt>
                <c:pt idx="25" formatCode="0.0%">
                  <c:v>0.17985401459854022</c:v>
                </c:pt>
                <c:pt idx="26" formatCode="0.0%">
                  <c:v>0.18802919708029198</c:v>
                </c:pt>
                <c:pt idx="27" formatCode="0.0%">
                  <c:v>0.19620437956204384</c:v>
                </c:pt>
                <c:pt idx="28" formatCode="0.0%">
                  <c:v>0.2043795620437957</c:v>
                </c:pt>
                <c:pt idx="29" formatCode="0.0%">
                  <c:v>0.21255474452554757</c:v>
                </c:pt>
                <c:pt idx="30" formatCode="0.0%">
                  <c:v>0.22072992700729938</c:v>
                </c:pt>
                <c:pt idx="31" formatCode="0.0%">
                  <c:v>0.22890510948905118</c:v>
                </c:pt>
                <c:pt idx="32" formatCode="0.0%">
                  <c:v>0.23708029197080305</c:v>
                </c:pt>
                <c:pt idx="33" formatCode="0.0%">
                  <c:v>0.24525547445255491</c:v>
                </c:pt>
              </c:numCache>
            </c:numRef>
          </c:val>
          <c:extLst>
            <c:ext xmlns:c16="http://schemas.microsoft.com/office/drawing/2014/chart" uri="{C3380CC4-5D6E-409C-BE32-E72D297353CC}">
              <c16:uniqueId val="{00000000-3119-4DD8-BDAA-21587AF2C9CD}"/>
            </c:ext>
          </c:extLst>
        </c:ser>
        <c:ser>
          <c:idx val="12"/>
          <c:order val="4"/>
          <c:tx>
            <c:strRef>
              <c:f>'Main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calculations'!$FF$7:$FF$40</c:f>
              <c:numCache>
                <c:formatCode>0.00%</c:formatCode>
                <c:ptCount val="34"/>
                <c:pt idx="0">
                  <c:v>0</c:v>
                </c:pt>
                <c:pt idx="1">
                  <c:v>0</c:v>
                </c:pt>
                <c:pt idx="2">
                  <c:v>0</c:v>
                </c:pt>
                <c:pt idx="3">
                  <c:v>0</c:v>
                </c:pt>
                <c:pt idx="4" formatCode="0.0%">
                  <c:v>3.4793187347932353E-3</c:v>
                </c:pt>
                <c:pt idx="5" formatCode="0.0%">
                  <c:v>6.9586374695863595E-3</c:v>
                </c:pt>
                <c:pt idx="6" formatCode="0.0%">
                  <c:v>1.0437956204379595E-2</c:v>
                </c:pt>
                <c:pt idx="7" formatCode="0.0%">
                  <c:v>1.3917274939172719E-2</c:v>
                </c:pt>
                <c:pt idx="8" formatCode="0.0%">
                  <c:v>1.7396593673965954E-2</c:v>
                </c:pt>
                <c:pt idx="9" formatCode="0.0%">
                  <c:v>2.0875912408759079E-2</c:v>
                </c:pt>
                <c:pt idx="10" formatCode="0.0%">
                  <c:v>2.4355231143552314E-2</c:v>
                </c:pt>
                <c:pt idx="11" formatCode="0.0%">
                  <c:v>2.7834549878345549E-2</c:v>
                </c:pt>
                <c:pt idx="12" formatCode="0.0%">
                  <c:v>3.1313868613138673E-2</c:v>
                </c:pt>
                <c:pt idx="13" formatCode="0.0%">
                  <c:v>3.4793187347931909E-2</c:v>
                </c:pt>
                <c:pt idx="14" formatCode="0.0%">
                  <c:v>3.8272506082725033E-2</c:v>
                </c:pt>
                <c:pt idx="15" formatCode="0.0%">
                  <c:v>4.1751824817518268E-2</c:v>
                </c:pt>
                <c:pt idx="16" formatCode="0.0%">
                  <c:v>4.5231143552311392E-2</c:v>
                </c:pt>
                <c:pt idx="17" formatCode="0.0%">
                  <c:v>4.8710462287104628E-2</c:v>
                </c:pt>
                <c:pt idx="18" formatCode="0.0%">
                  <c:v>5.2189781021897752E-2</c:v>
                </c:pt>
                <c:pt idx="19" formatCode="0.0%">
                  <c:v>5.5669099756690987E-2</c:v>
                </c:pt>
                <c:pt idx="20" formatCode="0.0%">
                  <c:v>5.9148418491484223E-2</c:v>
                </c:pt>
                <c:pt idx="21" formatCode="0.0%">
                  <c:v>6.2627737226277347E-2</c:v>
                </c:pt>
                <c:pt idx="22" formatCode="0.0%">
                  <c:v>6.6107055961070582E-2</c:v>
                </c:pt>
                <c:pt idx="23" formatCode="0.0%">
                  <c:v>6.9586374695863706E-2</c:v>
                </c:pt>
                <c:pt idx="24" formatCode="0.0%">
                  <c:v>7.3065693430656942E-2</c:v>
                </c:pt>
                <c:pt idx="25" formatCode="0.0%">
                  <c:v>7.6545012165450177E-2</c:v>
                </c:pt>
                <c:pt idx="26" formatCode="0.0%">
                  <c:v>8.0024330900243301E-2</c:v>
                </c:pt>
                <c:pt idx="27" formatCode="0.0%">
                  <c:v>8.3503649635036536E-2</c:v>
                </c:pt>
                <c:pt idx="28" formatCode="0.0%">
                  <c:v>8.6982968369829772E-2</c:v>
                </c:pt>
                <c:pt idx="29" formatCode="0.0%">
                  <c:v>9.0462287104622896E-2</c:v>
                </c:pt>
                <c:pt idx="30" formatCode="0.0%">
                  <c:v>9.3941605839416131E-2</c:v>
                </c:pt>
                <c:pt idx="31" formatCode="0.0%">
                  <c:v>9.7420924574209256E-2</c:v>
                </c:pt>
                <c:pt idx="32" formatCode="0.0%">
                  <c:v>0.10090024330900249</c:v>
                </c:pt>
                <c:pt idx="33" formatCode="0.0%">
                  <c:v>0.10437956204379573</c:v>
                </c:pt>
              </c:numCache>
            </c:numRef>
          </c:val>
          <c:extLst>
            <c:ext xmlns:c16="http://schemas.microsoft.com/office/drawing/2014/chart" uri="{C3380CC4-5D6E-409C-BE32-E72D297353CC}">
              <c16:uniqueId val="{0000001D-3119-4DD8-BDAA-21587AF2C9CD}"/>
            </c:ext>
          </c:extLst>
        </c:ser>
        <c:ser>
          <c:idx val="7"/>
          <c:order val="5"/>
          <c:tx>
            <c:strRef>
              <c:f>'Main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calculations'!$FG$7:$FG$40</c:f>
              <c:numCache>
                <c:formatCode>0.00%</c:formatCode>
                <c:ptCount val="34"/>
                <c:pt idx="0">
                  <c:v>0</c:v>
                </c:pt>
                <c:pt idx="1">
                  <c:v>0</c:v>
                </c:pt>
                <c:pt idx="2">
                  <c:v>0</c:v>
                </c:pt>
                <c:pt idx="3">
                  <c:v>0</c:v>
                </c:pt>
                <c:pt idx="4" formatCode="0.0%">
                  <c:v>1.6788321167883202E-3</c:v>
                </c:pt>
                <c:pt idx="5" formatCode="0.0%">
                  <c:v>3.3576642335766405E-3</c:v>
                </c:pt>
                <c:pt idx="6" formatCode="0.0%">
                  <c:v>5.0364963503649607E-3</c:v>
                </c:pt>
                <c:pt idx="7" formatCode="0.0%">
                  <c:v>6.7153284671532809E-3</c:v>
                </c:pt>
                <c:pt idx="8" formatCode="0.0%">
                  <c:v>8.3941605839416011E-3</c:v>
                </c:pt>
                <c:pt idx="9" formatCode="0.0%">
                  <c:v>1.0072992700729921E-2</c:v>
                </c:pt>
                <c:pt idx="10" formatCode="0.0%">
                  <c:v>1.1751824817518242E-2</c:v>
                </c:pt>
                <c:pt idx="11" formatCode="0.0%">
                  <c:v>1.3430656934306562E-2</c:v>
                </c:pt>
                <c:pt idx="12" formatCode="0.0%">
                  <c:v>1.5109489051094882E-2</c:v>
                </c:pt>
                <c:pt idx="13" formatCode="0.0%">
                  <c:v>1.6788321167883202E-2</c:v>
                </c:pt>
                <c:pt idx="14" formatCode="0.0%">
                  <c:v>1.8467153284671523E-2</c:v>
                </c:pt>
                <c:pt idx="15" formatCode="0.0%">
                  <c:v>2.0145985401459843E-2</c:v>
                </c:pt>
                <c:pt idx="16" formatCode="0.0%">
                  <c:v>2.1824817518248163E-2</c:v>
                </c:pt>
                <c:pt idx="17" formatCode="0.0%">
                  <c:v>2.3503649635036483E-2</c:v>
                </c:pt>
                <c:pt idx="18" formatCode="0.0%">
                  <c:v>2.5182481751824803E-2</c:v>
                </c:pt>
                <c:pt idx="19" formatCode="0.0%">
                  <c:v>2.6861313868613124E-2</c:v>
                </c:pt>
                <c:pt idx="20" formatCode="0.0%">
                  <c:v>2.8540145985401444E-2</c:v>
                </c:pt>
                <c:pt idx="21" formatCode="0.0%">
                  <c:v>3.0218978102189764E-2</c:v>
                </c:pt>
                <c:pt idx="22" formatCode="0.0%">
                  <c:v>3.1897810218978084E-2</c:v>
                </c:pt>
                <c:pt idx="23" formatCode="0.0%">
                  <c:v>3.3576642335766405E-2</c:v>
                </c:pt>
                <c:pt idx="24" formatCode="0.0%">
                  <c:v>3.5255474452554725E-2</c:v>
                </c:pt>
                <c:pt idx="25" formatCode="0.0%">
                  <c:v>3.6934306569343045E-2</c:v>
                </c:pt>
                <c:pt idx="26" formatCode="0.0%">
                  <c:v>3.8613138686131365E-2</c:v>
                </c:pt>
                <c:pt idx="27" formatCode="0.0%">
                  <c:v>4.0291970802919685E-2</c:v>
                </c:pt>
                <c:pt idx="28" formatCode="0.0%">
                  <c:v>4.1970802919708006E-2</c:v>
                </c:pt>
                <c:pt idx="29" formatCode="0.0%">
                  <c:v>4.3649635036496326E-2</c:v>
                </c:pt>
                <c:pt idx="30" formatCode="0.0%">
                  <c:v>4.5328467153284646E-2</c:v>
                </c:pt>
                <c:pt idx="31" formatCode="0.0%">
                  <c:v>4.7007299270072966E-2</c:v>
                </c:pt>
                <c:pt idx="32" formatCode="0.0%">
                  <c:v>4.8686131386861287E-2</c:v>
                </c:pt>
                <c:pt idx="33" formatCode="0.0%">
                  <c:v>5.0364963503649607E-2</c:v>
                </c:pt>
              </c:numCache>
            </c:numRef>
          </c:val>
          <c:extLst>
            <c:ext xmlns:c16="http://schemas.microsoft.com/office/drawing/2014/chart" uri="{C3380CC4-5D6E-409C-BE32-E72D297353CC}">
              <c16:uniqueId val="{00000007-3119-4DD8-BDAA-21587AF2C9CD}"/>
            </c:ext>
          </c:extLst>
        </c:ser>
        <c:ser>
          <c:idx val="5"/>
          <c:order val="6"/>
          <c:tx>
            <c:strRef>
              <c:f>'Main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3.2142857142857251E-3</c:v>
                </c:pt>
                <c:pt idx="14" formatCode="0.0%">
                  <c:v>6.4285714285714501E-3</c:v>
                </c:pt>
                <c:pt idx="15" formatCode="0.0%">
                  <c:v>9.6428571428571752E-3</c:v>
                </c:pt>
                <c:pt idx="16" formatCode="0.0%">
                  <c:v>1.28571428571429E-2</c:v>
                </c:pt>
                <c:pt idx="17" formatCode="0.0%">
                  <c:v>1.6071428571428625E-2</c:v>
                </c:pt>
                <c:pt idx="18" formatCode="0.0%">
                  <c:v>1.9285714285714239E-2</c:v>
                </c:pt>
                <c:pt idx="19" formatCode="0.0%">
                  <c:v>2.2499999999999964E-2</c:v>
                </c:pt>
                <c:pt idx="20" formatCode="0.0%">
                  <c:v>2.571428571428569E-2</c:v>
                </c:pt>
                <c:pt idx="21" formatCode="0.0%">
                  <c:v>2.8928571428571415E-2</c:v>
                </c:pt>
                <c:pt idx="22" formatCode="0.0%">
                  <c:v>3.214285714285714E-2</c:v>
                </c:pt>
                <c:pt idx="23" formatCode="0.0%">
                  <c:v>3.5357142857142865E-2</c:v>
                </c:pt>
                <c:pt idx="24" formatCode="0.0%">
                  <c:v>3.857142857142859E-2</c:v>
                </c:pt>
                <c:pt idx="25" formatCode="0.0%">
                  <c:v>4.1785714285714315E-2</c:v>
                </c:pt>
                <c:pt idx="26" formatCode="0.0%">
                  <c:v>4.500000000000004E-2</c:v>
                </c:pt>
                <c:pt idx="27" formatCode="0.0%">
                  <c:v>4.8214285714285765E-2</c:v>
                </c:pt>
                <c:pt idx="28" formatCode="0.0%">
                  <c:v>5.1428571428571379E-2</c:v>
                </c:pt>
                <c:pt idx="29" formatCode="0.0%">
                  <c:v>5.4642857142857104E-2</c:v>
                </c:pt>
                <c:pt idx="30" formatCode="0.0%">
                  <c:v>5.7857142857142829E-2</c:v>
                </c:pt>
                <c:pt idx="31" formatCode="0.0%">
                  <c:v>6.1071428571428554E-2</c:v>
                </c:pt>
                <c:pt idx="32" formatCode="0.0%">
                  <c:v>6.4285714285714279E-2</c:v>
                </c:pt>
                <c:pt idx="33" formatCode="0.0%">
                  <c:v>6.7500000000000004E-2</c:v>
                </c:pt>
              </c:numCache>
            </c:numRef>
          </c:val>
          <c:extLst>
            <c:ext xmlns:c16="http://schemas.microsoft.com/office/drawing/2014/chart" uri="{C3380CC4-5D6E-409C-BE32-E72D297353CC}">
              <c16:uniqueId val="{00000005-3119-4DD8-BDAA-21587AF2C9CD}"/>
            </c:ext>
          </c:extLst>
        </c:ser>
        <c:ser>
          <c:idx val="9"/>
          <c:order val="7"/>
          <c:tx>
            <c:strRef>
              <c:f>'Main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8.6538461538465672E-4</c:v>
                </c:pt>
                <c:pt idx="9" formatCode="0.0%">
                  <c:v>1.7307692307692024E-3</c:v>
                </c:pt>
                <c:pt idx="10" formatCode="0.0%">
                  <c:v>2.5961538461538591E-3</c:v>
                </c:pt>
                <c:pt idx="11" formatCode="0.0%">
                  <c:v>3.4615384615385159E-3</c:v>
                </c:pt>
                <c:pt idx="12" formatCode="0.0%">
                  <c:v>4.3269230769230616E-3</c:v>
                </c:pt>
                <c:pt idx="13" formatCode="0.0%">
                  <c:v>5.1923076923077183E-3</c:v>
                </c:pt>
                <c:pt idx="14" formatCode="0.0%">
                  <c:v>6.057692307692264E-3</c:v>
                </c:pt>
                <c:pt idx="15" formatCode="0.0%">
                  <c:v>6.9230769230769207E-3</c:v>
                </c:pt>
                <c:pt idx="16" formatCode="0.0%">
                  <c:v>7.7884615384615774E-3</c:v>
                </c:pt>
                <c:pt idx="17" formatCode="0.0%">
                  <c:v>8.6538461538461231E-3</c:v>
                </c:pt>
                <c:pt idx="18" formatCode="0.0%">
                  <c:v>9.5192307692307798E-3</c:v>
                </c:pt>
                <c:pt idx="19" formatCode="0.0%">
                  <c:v>1.0384615384615437E-2</c:v>
                </c:pt>
                <c:pt idx="20" formatCode="0.0%">
                  <c:v>1.1249999999999982E-2</c:v>
                </c:pt>
                <c:pt idx="21" formatCode="0.0%">
                  <c:v>1.2115384615384639E-2</c:v>
                </c:pt>
                <c:pt idx="22" formatCode="0.0%">
                  <c:v>1.2980769230769185E-2</c:v>
                </c:pt>
                <c:pt idx="23" formatCode="0.0%">
                  <c:v>1.3846153846153841E-2</c:v>
                </c:pt>
                <c:pt idx="24" formatCode="0.0%">
                  <c:v>1.4711538461538498E-2</c:v>
                </c:pt>
                <c:pt idx="25" formatCode="0.0%">
                  <c:v>1.5576923076923044E-2</c:v>
                </c:pt>
                <c:pt idx="26" formatCode="0.0%">
                  <c:v>1.6442307692307701E-2</c:v>
                </c:pt>
                <c:pt idx="27" formatCode="0.0%">
                  <c:v>1.7307692307692357E-2</c:v>
                </c:pt>
                <c:pt idx="28" formatCode="0.0%">
                  <c:v>1.8173076923076903E-2</c:v>
                </c:pt>
                <c:pt idx="29" formatCode="0.0%">
                  <c:v>1.903846153846156E-2</c:v>
                </c:pt>
                <c:pt idx="30" formatCode="0.0%">
                  <c:v>1.9903846153846105E-2</c:v>
                </c:pt>
                <c:pt idx="31" formatCode="0.0%">
                  <c:v>2.0769230769230762E-2</c:v>
                </c:pt>
                <c:pt idx="32" formatCode="0.0%">
                  <c:v>2.1634615384615419E-2</c:v>
                </c:pt>
                <c:pt idx="33" formatCode="0.0%">
                  <c:v>2.2499999999999964E-2</c:v>
                </c:pt>
              </c:numCache>
            </c:numRef>
          </c:val>
          <c:extLst>
            <c:ext xmlns:c16="http://schemas.microsoft.com/office/drawing/2014/chart" uri="{C3380CC4-5D6E-409C-BE32-E72D297353CC}">
              <c16:uniqueId val="{0000000A-3119-4DD8-BDAA-21587AF2C9CD}"/>
            </c:ext>
          </c:extLst>
        </c:ser>
        <c:ser>
          <c:idx val="6"/>
          <c:order val="8"/>
          <c:tx>
            <c:strRef>
              <c:f>'Main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calculations'!$FJ$7:$FJ$40</c:f>
              <c:numCache>
                <c:formatCode>0.00%</c:formatCode>
                <c:ptCount val="34"/>
                <c:pt idx="0">
                  <c:v>0</c:v>
                </c:pt>
                <c:pt idx="1">
                  <c:v>0</c:v>
                </c:pt>
                <c:pt idx="2">
                  <c:v>0</c:v>
                </c:pt>
                <c:pt idx="3">
                  <c:v>0</c:v>
                </c:pt>
                <c:pt idx="4" formatCode="0.0%">
                  <c:v>0</c:v>
                </c:pt>
                <c:pt idx="5" formatCode="0.0%">
                  <c:v>0</c:v>
                </c:pt>
                <c:pt idx="6" formatCode="0.0%">
                  <c:v>2.4999999999997247E-4</c:v>
                </c:pt>
                <c:pt idx="7" formatCode="0.0%">
                  <c:v>4.9999999999994493E-4</c:v>
                </c:pt>
                <c:pt idx="8" formatCode="0.0%">
                  <c:v>7.5000000000002842E-4</c:v>
                </c:pt>
                <c:pt idx="9" formatCode="0.0%">
                  <c:v>1.0000000000000009E-3</c:v>
                </c:pt>
                <c:pt idx="10" formatCode="0.0%">
                  <c:v>1.2499999999999734E-3</c:v>
                </c:pt>
                <c:pt idx="11" formatCode="0.0%">
                  <c:v>1.4999999999999458E-3</c:v>
                </c:pt>
                <c:pt idx="12" formatCode="0.0%">
                  <c:v>1.7500000000000293E-3</c:v>
                </c:pt>
                <c:pt idx="13" formatCode="0.0%">
                  <c:v>2.0000000000000018E-3</c:v>
                </c:pt>
                <c:pt idx="14" formatCode="0.0%">
                  <c:v>2.2499999999999742E-3</c:v>
                </c:pt>
                <c:pt idx="15" formatCode="0.0%">
                  <c:v>2.4999999999999467E-3</c:v>
                </c:pt>
                <c:pt idx="16" formatCode="0.0%">
                  <c:v>2.7500000000000302E-3</c:v>
                </c:pt>
                <c:pt idx="17" formatCode="0.0%">
                  <c:v>3.0000000000000027E-3</c:v>
                </c:pt>
                <c:pt idx="18" formatCode="0.0%">
                  <c:v>3.2499999999999751E-3</c:v>
                </c:pt>
                <c:pt idx="19" formatCode="0.0%">
                  <c:v>3.4999999999999476E-3</c:v>
                </c:pt>
                <c:pt idx="20" formatCode="0.0%">
                  <c:v>3.7500000000000311E-3</c:v>
                </c:pt>
                <c:pt idx="21" formatCode="0.0%">
                  <c:v>4.0000000000000036E-3</c:v>
                </c:pt>
                <c:pt idx="22" formatCode="0.0%">
                  <c:v>4.249999999999976E-3</c:v>
                </c:pt>
                <c:pt idx="23" formatCode="0.0%">
                  <c:v>4.4999999999999485E-3</c:v>
                </c:pt>
                <c:pt idx="24" formatCode="0.0%">
                  <c:v>4.750000000000032E-3</c:v>
                </c:pt>
                <c:pt idx="25" formatCode="0.0%">
                  <c:v>5.0000000000000044E-3</c:v>
                </c:pt>
                <c:pt idx="26" formatCode="0.0%">
                  <c:v>5.2499999999999769E-3</c:v>
                </c:pt>
                <c:pt idx="27" formatCode="0.0%">
                  <c:v>5.4999999999999494E-3</c:v>
                </c:pt>
                <c:pt idx="28" formatCode="0.0%">
                  <c:v>5.7500000000000329E-3</c:v>
                </c:pt>
                <c:pt idx="29" formatCode="0.0%">
                  <c:v>6.0000000000000053E-3</c:v>
                </c:pt>
                <c:pt idx="30" formatCode="0.0%">
                  <c:v>6.2499999999999778E-3</c:v>
                </c:pt>
                <c:pt idx="31" formatCode="0.0%">
                  <c:v>6.4999999999999503E-3</c:v>
                </c:pt>
                <c:pt idx="32" formatCode="0.0%">
                  <c:v>6.7500000000000338E-3</c:v>
                </c:pt>
                <c:pt idx="33" formatCode="0.0%">
                  <c:v>7.0000000000000062E-3</c:v>
                </c:pt>
              </c:numCache>
            </c:numRef>
          </c:val>
          <c:extLst>
            <c:ext xmlns:c16="http://schemas.microsoft.com/office/drawing/2014/chart" uri="{C3380CC4-5D6E-409C-BE32-E72D297353CC}">
              <c16:uniqueId val="{00000006-3119-4DD8-BDAA-21587AF2C9CD}"/>
            </c:ext>
          </c:extLst>
        </c:ser>
        <c:ser>
          <c:idx val="3"/>
          <c:order val="9"/>
          <c:tx>
            <c:strRef>
              <c:f>'Main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calculations'!$FK$7:$FK$40</c:f>
              <c:numCache>
                <c:formatCode>0.00%</c:formatCode>
                <c:ptCount val="34"/>
                <c:pt idx="0">
                  <c:v>0</c:v>
                </c:pt>
                <c:pt idx="1">
                  <c:v>0</c:v>
                </c:pt>
                <c:pt idx="2">
                  <c:v>0</c:v>
                </c:pt>
                <c:pt idx="3">
                  <c:v>0</c:v>
                </c:pt>
                <c:pt idx="4" formatCode="0.0%">
                  <c:v>9.5999999999996088E-4</c:v>
                </c:pt>
                <c:pt idx="5" formatCode="0.0%">
                  <c:v>1.9200000000000328E-3</c:v>
                </c:pt>
                <c:pt idx="6" formatCode="0.0%">
                  <c:v>2.8799999999999937E-3</c:v>
                </c:pt>
                <c:pt idx="7" formatCode="0.0%">
                  <c:v>3.8399999999999546E-3</c:v>
                </c:pt>
                <c:pt idx="8" formatCode="0.0%">
                  <c:v>4.8000000000000265E-3</c:v>
                </c:pt>
                <c:pt idx="9" formatCode="0.0%">
                  <c:v>5.7599999999999874E-3</c:v>
                </c:pt>
                <c:pt idx="10" formatCode="0.0%">
                  <c:v>6.7199999999999482E-3</c:v>
                </c:pt>
                <c:pt idx="11" formatCode="0.0%">
                  <c:v>7.6800000000000201E-3</c:v>
                </c:pt>
                <c:pt idx="12" formatCode="0.0%">
                  <c:v>8.639999999999981E-3</c:v>
                </c:pt>
                <c:pt idx="13" formatCode="0.0%">
                  <c:v>9.6000000000000529E-3</c:v>
                </c:pt>
                <c:pt idx="14" formatCode="0.0%">
                  <c:v>1.0560000000000014E-2</c:v>
                </c:pt>
                <c:pt idx="15" formatCode="0.0%">
                  <c:v>1.1519999999999975E-2</c:v>
                </c:pt>
                <c:pt idx="16" formatCode="0.0%">
                  <c:v>1.2480000000000047E-2</c:v>
                </c:pt>
                <c:pt idx="17" formatCode="0.0%">
                  <c:v>1.3440000000000007E-2</c:v>
                </c:pt>
                <c:pt idx="18" formatCode="0.0%">
                  <c:v>1.4399999999999968E-2</c:v>
                </c:pt>
                <c:pt idx="19" formatCode="0.0%">
                  <c:v>1.536000000000004E-2</c:v>
                </c:pt>
                <c:pt idx="20" formatCode="0.0%">
                  <c:v>1.6320000000000001E-2</c:v>
                </c:pt>
                <c:pt idx="21" formatCode="0.0%">
                  <c:v>1.7279999999999962E-2</c:v>
                </c:pt>
                <c:pt idx="22" formatCode="0.0%">
                  <c:v>1.8240000000000034E-2</c:v>
                </c:pt>
                <c:pt idx="23" formatCode="0.0%">
                  <c:v>1.9199999999999995E-2</c:v>
                </c:pt>
                <c:pt idx="24" formatCode="0.0%">
                  <c:v>2.0159999999999956E-2</c:v>
                </c:pt>
                <c:pt idx="25" formatCode="0.0%">
                  <c:v>2.1120000000000028E-2</c:v>
                </c:pt>
                <c:pt idx="26" formatCode="0.0%">
                  <c:v>2.2079999999999989E-2</c:v>
                </c:pt>
                <c:pt idx="27" formatCode="0.0%">
                  <c:v>2.3039999999999949E-2</c:v>
                </c:pt>
                <c:pt idx="28" formatCode="0.0%">
                  <c:v>2.4000000000000021E-2</c:v>
                </c:pt>
                <c:pt idx="29" formatCode="0.0%">
                  <c:v>2.4959999999999982E-2</c:v>
                </c:pt>
                <c:pt idx="30" formatCode="0.0%">
                  <c:v>2.5919999999999943E-2</c:v>
                </c:pt>
                <c:pt idx="31" formatCode="0.0%">
                  <c:v>2.6880000000000015E-2</c:v>
                </c:pt>
                <c:pt idx="32" formatCode="0.0%">
                  <c:v>2.7839999999999976E-2</c:v>
                </c:pt>
                <c:pt idx="33" formatCode="0.0%">
                  <c:v>2.8799999999999937E-2</c:v>
                </c:pt>
              </c:numCache>
            </c:numRef>
          </c:val>
          <c:extLst>
            <c:ext xmlns:c16="http://schemas.microsoft.com/office/drawing/2014/chart" uri="{C3380CC4-5D6E-409C-BE32-E72D297353CC}">
              <c16:uniqueId val="{0000001E-3119-4DD8-BDAA-21587AF2C9C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02-3119-4DD8-BDAA-21587AF2C9CD}"/>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F-3119-4DD8-BDAA-21587AF2C9CD}"/>
              </c:ext>
            </c:extLst>
          </c:dPt>
          <c:dLbls>
            <c:dLbl>
              <c:idx val="3"/>
              <c:layout>
                <c:manualLayout>
                  <c:x val="-4.6433777465333524E-2"/>
                  <c:y val="0.31736386266493061"/>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330648587709661"/>
                      <c:h val="2.6500084605509337E-2"/>
                    </c:manualLayout>
                  </c15:layout>
                </c:ext>
                <c:ext xmlns:c16="http://schemas.microsoft.com/office/drawing/2014/chart" uri="{C3380CC4-5D6E-409C-BE32-E72D297353CC}">
                  <c16:uniqueId val="{0000001F-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0B-3119-4DD8-BDAA-21587AF2C9C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8-3119-4DD8-BDAA-21587AF2C9C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calculations'!$IM$6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calculations'!$IM$7:$IM$40</c:f>
              <c:numCache>
                <c:formatCode>0%</c:formatCode>
                <c:ptCount val="34"/>
                <c:pt idx="0">
                  <c:v>1</c:v>
                </c:pt>
                <c:pt idx="1">
                  <c:v>0.98333333333333328</c:v>
                </c:pt>
                <c:pt idx="2">
                  <c:v>0.96666666666666656</c:v>
                </c:pt>
                <c:pt idx="3" formatCode="0.00%">
                  <c:v>0.95</c:v>
                </c:pt>
                <c:pt idx="4" formatCode="0.00%">
                  <c:v>0.93404941176470579</c:v>
                </c:pt>
                <c:pt idx="5" formatCode="0.00%">
                  <c:v>0.91809882352941174</c:v>
                </c:pt>
                <c:pt idx="6" formatCode="0.00%">
                  <c:v>0.90189823529411761</c:v>
                </c:pt>
                <c:pt idx="7" formatCode="0.00%">
                  <c:v>0.88569764705882359</c:v>
                </c:pt>
                <c:pt idx="8" formatCode="0.00%">
                  <c:v>0.86863167420814469</c:v>
                </c:pt>
                <c:pt idx="9" formatCode="0.00%">
                  <c:v>0.85156570135746612</c:v>
                </c:pt>
                <c:pt idx="10" formatCode="0.00%">
                  <c:v>0.83449972850678733</c:v>
                </c:pt>
                <c:pt idx="11" formatCode="0.00%">
                  <c:v>0.81743375565610843</c:v>
                </c:pt>
                <c:pt idx="12" formatCode="0.00%">
                  <c:v>0.80036778280542986</c:v>
                </c:pt>
                <c:pt idx="13" formatCode="0.00%">
                  <c:v>0.78008752424046535</c:v>
                </c:pt>
                <c:pt idx="14" formatCode="0.00%">
                  <c:v>0.75980726567550105</c:v>
                </c:pt>
                <c:pt idx="15" formatCode="0.00%">
                  <c:v>0.73952700711053654</c:v>
                </c:pt>
                <c:pt idx="16" formatCode="0.00%">
                  <c:v>0.71924674854557202</c:v>
                </c:pt>
                <c:pt idx="17" formatCode="0.00%">
                  <c:v>0.69896648998060762</c:v>
                </c:pt>
                <c:pt idx="18" formatCode="0.00%">
                  <c:v>0.67868623141564333</c:v>
                </c:pt>
                <c:pt idx="19" formatCode="0.00%">
                  <c:v>0.6584059728506787</c:v>
                </c:pt>
                <c:pt idx="20" formatCode="0.00%">
                  <c:v>0.63812571428571419</c:v>
                </c:pt>
                <c:pt idx="21" formatCode="0.00%">
                  <c:v>0.62283604395604408</c:v>
                </c:pt>
                <c:pt idx="22" formatCode="0.00%">
                  <c:v>0.60754637362637354</c:v>
                </c:pt>
                <c:pt idx="23" formatCode="0.00%">
                  <c:v>0.59225670329670344</c:v>
                </c:pt>
                <c:pt idx="24" formatCode="0.00%">
                  <c:v>0.57696703296703289</c:v>
                </c:pt>
                <c:pt idx="25" formatCode="0.00%">
                  <c:v>0.56167736263736234</c:v>
                </c:pt>
                <c:pt idx="26" formatCode="0.00%">
                  <c:v>0.54638769230769224</c:v>
                </c:pt>
                <c:pt idx="27" formatCode="0.00%">
                  <c:v>0.53109802197802192</c:v>
                </c:pt>
                <c:pt idx="28" formatCode="0.00%">
                  <c:v>0.51580835164835137</c:v>
                </c:pt>
                <c:pt idx="29" formatCode="0.00%">
                  <c:v>0.50051868131868116</c:v>
                </c:pt>
                <c:pt idx="30" formatCode="0.00%">
                  <c:v>0.48522901098901106</c:v>
                </c:pt>
                <c:pt idx="31" formatCode="0.00%">
                  <c:v>0.46993934065934051</c:v>
                </c:pt>
                <c:pt idx="32" formatCode="0.00%">
                  <c:v>0.45464967032967019</c:v>
                </c:pt>
                <c:pt idx="33" formatCode="0.00%">
                  <c:v>0.43935999999999986</c:v>
                </c:pt>
              </c:numCache>
            </c:numRef>
          </c:val>
          <c:extLst>
            <c:ext xmlns:c16="http://schemas.microsoft.com/office/drawing/2014/chart" uri="{C3380CC4-5D6E-409C-BE32-E72D297353CC}">
              <c16:uniqueId val="{00000001-3119-4DD8-BDAA-21587AF2C9CD}"/>
            </c:ext>
          </c:extLst>
        </c:ser>
        <c:ser>
          <c:idx val="11"/>
          <c:order val="1"/>
          <c:tx>
            <c:strRef>
              <c:f>'Main calculations'!$IO$6</c:f>
              <c:strCache>
                <c:ptCount val="1"/>
                <c:pt idx="0">
                  <c:v>.</c:v>
                </c:pt>
              </c:strCache>
            </c:strRef>
          </c:tx>
          <c:spPr>
            <a:solidFill>
              <a:schemeClr val="accent6">
                <a:lumMod val="60000"/>
              </a:schemeClr>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calculations'!$IO$7:$IO$40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0</c:v>
                </c:pt>
                <c:pt idx="14" formatCode="0.0%">
                  <c:v>0</c:v>
                </c:pt>
                <c:pt idx="15" formatCode="0.0%">
                  <c:v>0</c:v>
                </c:pt>
                <c:pt idx="16" formatCode="0.0%">
                  <c:v>0</c:v>
                </c:pt>
                <c:pt idx="17" formatCode="0.0%">
                  <c:v>0</c:v>
                </c:pt>
                <c:pt idx="18" formatCode="0.0%">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c:v>
                </c:pt>
                <c:pt idx="33" formatCode="0.0%">
                  <c:v>0</c:v>
                </c:pt>
              </c:numCache>
            </c:numRef>
          </c:val>
          <c:extLst>
            <c:ext xmlns:c16="http://schemas.microsoft.com/office/drawing/2014/chart" uri="{C3380CC4-5D6E-409C-BE32-E72D297353CC}">
              <c16:uniqueId val="{0000001A-3119-4DD8-BDAA-21587AF2C9CD}"/>
            </c:ext>
          </c:extLst>
        </c:ser>
        <c:ser>
          <c:idx val="4"/>
          <c:order val="2"/>
          <c:tx>
            <c:strRef>
              <c:f>'Main calculations'!$IP$6</c:f>
              <c:strCache>
                <c:ptCount val="1"/>
                <c:pt idx="0">
                  <c:v>ICE fuel efficiency@0%BEV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calculations'!$IP$7:$IP$40</c:f>
              <c:numCache>
                <c:formatCode>0.00%</c:formatCode>
                <c:ptCount val="34"/>
                <c:pt idx="0">
                  <c:v>0</c:v>
                </c:pt>
                <c:pt idx="1">
                  <c:v>0</c:v>
                </c:pt>
                <c:pt idx="2">
                  <c:v>0</c:v>
                </c:pt>
                <c:pt idx="3">
                  <c:v>0</c:v>
                </c:pt>
                <c:pt idx="4" formatCode="0.0%">
                  <c:v>4.9905882352941156E-3</c:v>
                </c:pt>
                <c:pt idx="5" formatCode="0.0%">
                  <c:v>9.9811764705882312E-3</c:v>
                </c:pt>
                <c:pt idx="6" formatCode="0.0%">
                  <c:v>1.4971764705882348E-2</c:v>
                </c:pt>
                <c:pt idx="7" formatCode="0.0%">
                  <c:v>1.9962352941176462E-2</c:v>
                </c:pt>
                <c:pt idx="8" formatCode="0.0%">
                  <c:v>2.4952941176470577E-2</c:v>
                </c:pt>
                <c:pt idx="9" formatCode="0.0%">
                  <c:v>2.9943529411764692E-2</c:v>
                </c:pt>
                <c:pt idx="10" formatCode="0.0%">
                  <c:v>3.493411764705881E-2</c:v>
                </c:pt>
                <c:pt idx="11" formatCode="0.0%">
                  <c:v>3.9924705882352925E-2</c:v>
                </c:pt>
                <c:pt idx="12" formatCode="0.0%">
                  <c:v>4.4915294117647039E-2</c:v>
                </c:pt>
                <c:pt idx="13" formatCode="0.0%">
                  <c:v>4.9905882352941154E-2</c:v>
                </c:pt>
                <c:pt idx="14" formatCode="0.0%">
                  <c:v>5.4896470588235269E-2</c:v>
                </c:pt>
                <c:pt idx="15" formatCode="0.0%">
                  <c:v>5.9887058823529384E-2</c:v>
                </c:pt>
                <c:pt idx="16" formatCode="0.0%">
                  <c:v>6.4877647058823498E-2</c:v>
                </c:pt>
                <c:pt idx="17" formatCode="0.0%">
                  <c:v>6.986823529411762E-2</c:v>
                </c:pt>
                <c:pt idx="18" formatCode="0.0%">
                  <c:v>7.4858823529411742E-2</c:v>
                </c:pt>
                <c:pt idx="19" formatCode="0.0%">
                  <c:v>7.9849411764705863E-2</c:v>
                </c:pt>
                <c:pt idx="20" formatCode="0.0%">
                  <c:v>8.4839999999999985E-2</c:v>
                </c:pt>
                <c:pt idx="21" formatCode="0.0%">
                  <c:v>8.4839999999999971E-2</c:v>
                </c:pt>
                <c:pt idx="22" formatCode="0.0%">
                  <c:v>8.4839999999999971E-2</c:v>
                </c:pt>
                <c:pt idx="23" formatCode="0.0%">
                  <c:v>8.4839999999999971E-2</c:v>
                </c:pt>
                <c:pt idx="24" formatCode="0.0%">
                  <c:v>8.4839999999999971E-2</c:v>
                </c:pt>
                <c:pt idx="25" formatCode="0.0%">
                  <c:v>8.4839999999999971E-2</c:v>
                </c:pt>
                <c:pt idx="26" formatCode="0.0%">
                  <c:v>8.4839999999999971E-2</c:v>
                </c:pt>
                <c:pt idx="27" formatCode="0.0%">
                  <c:v>8.4839999999999971E-2</c:v>
                </c:pt>
                <c:pt idx="28" formatCode="0.0%">
                  <c:v>8.4839999999999971E-2</c:v>
                </c:pt>
                <c:pt idx="29" formatCode="0.0%">
                  <c:v>8.4839999999999971E-2</c:v>
                </c:pt>
                <c:pt idx="30" formatCode="0.0%">
                  <c:v>8.4839999999999971E-2</c:v>
                </c:pt>
                <c:pt idx="31" formatCode="0.0%">
                  <c:v>8.4839999999999971E-2</c:v>
                </c:pt>
                <c:pt idx="32" formatCode="0.0%">
                  <c:v>8.4839999999999971E-2</c:v>
                </c:pt>
                <c:pt idx="33" formatCode="0.0%">
                  <c:v>8.4839999999999971E-2</c:v>
                </c:pt>
              </c:numCache>
            </c:numRef>
          </c:val>
          <c:extLst>
            <c:ext xmlns:c16="http://schemas.microsoft.com/office/drawing/2014/chart" uri="{C3380CC4-5D6E-409C-BE32-E72D297353CC}">
              <c16:uniqueId val="{00000004-3119-4DD8-BDAA-21587AF2C9CD}"/>
            </c:ext>
          </c:extLst>
        </c:ser>
        <c:ser>
          <c:idx val="0"/>
          <c:order val="3"/>
          <c:tx>
            <c:strRef>
              <c:f>'Main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calculations'!$FE$7:$FE$40</c:f>
              <c:numCache>
                <c:formatCode>0.00%</c:formatCode>
                <c:ptCount val="34"/>
                <c:pt idx="0">
                  <c:v>0</c:v>
                </c:pt>
                <c:pt idx="1">
                  <c:v>0</c:v>
                </c:pt>
                <c:pt idx="2">
                  <c:v>0</c:v>
                </c:pt>
                <c:pt idx="3">
                  <c:v>0</c:v>
                </c:pt>
                <c:pt idx="4" formatCode="0.0%">
                  <c:v>8.1751824817518637E-3</c:v>
                </c:pt>
                <c:pt idx="5" formatCode="0.0%">
                  <c:v>1.6350364963503616E-2</c:v>
                </c:pt>
                <c:pt idx="6" formatCode="0.0%">
                  <c:v>2.452554744525548E-2</c:v>
                </c:pt>
                <c:pt idx="7" formatCode="0.0%">
                  <c:v>3.2700729927007344E-2</c:v>
                </c:pt>
                <c:pt idx="8" formatCode="0.0%">
                  <c:v>4.0875912408759096E-2</c:v>
                </c:pt>
                <c:pt idx="9" formatCode="0.0%">
                  <c:v>4.905109489051096E-2</c:v>
                </c:pt>
                <c:pt idx="10" formatCode="0.0%">
                  <c:v>5.7226277372262824E-2</c:v>
                </c:pt>
                <c:pt idx="11" formatCode="0.0%">
                  <c:v>6.5401459854014576E-2</c:v>
                </c:pt>
                <c:pt idx="12" formatCode="0.0%">
                  <c:v>7.357664233576644E-2</c:v>
                </c:pt>
                <c:pt idx="13" formatCode="0.0%">
                  <c:v>8.1751824817518193E-2</c:v>
                </c:pt>
                <c:pt idx="14" formatCode="0.0%">
                  <c:v>8.9927007299270056E-2</c:v>
                </c:pt>
                <c:pt idx="15" formatCode="0.0%">
                  <c:v>9.810218978102192E-2</c:v>
                </c:pt>
                <c:pt idx="16" formatCode="0.0%">
                  <c:v>0.10627737226277367</c:v>
                </c:pt>
                <c:pt idx="17" formatCode="0.0%">
                  <c:v>0.11445255474452554</c:v>
                </c:pt>
                <c:pt idx="18" formatCode="0.0%">
                  <c:v>0.1226277372262774</c:v>
                </c:pt>
                <c:pt idx="19" formatCode="0.0%">
                  <c:v>0.13080291970802915</c:v>
                </c:pt>
                <c:pt idx="20" formatCode="0.0%">
                  <c:v>0.13897810218978102</c:v>
                </c:pt>
                <c:pt idx="21" formatCode="0.0%">
                  <c:v>0.14715328467153288</c:v>
                </c:pt>
                <c:pt idx="22" formatCode="0.0%">
                  <c:v>0.15532846715328463</c:v>
                </c:pt>
                <c:pt idx="23" formatCode="0.0%">
                  <c:v>0.1635036496350365</c:v>
                </c:pt>
                <c:pt idx="24" formatCode="0.0%">
                  <c:v>0.17167883211678836</c:v>
                </c:pt>
                <c:pt idx="25" formatCode="0.0%">
                  <c:v>0.17985401459854022</c:v>
                </c:pt>
                <c:pt idx="26" formatCode="0.0%">
                  <c:v>0.18802919708029198</c:v>
                </c:pt>
                <c:pt idx="27" formatCode="0.0%">
                  <c:v>0.19620437956204384</c:v>
                </c:pt>
                <c:pt idx="28" formatCode="0.0%">
                  <c:v>0.2043795620437957</c:v>
                </c:pt>
                <c:pt idx="29" formatCode="0.0%">
                  <c:v>0.21255474452554757</c:v>
                </c:pt>
                <c:pt idx="30" formatCode="0.0%">
                  <c:v>0.22072992700729938</c:v>
                </c:pt>
                <c:pt idx="31" formatCode="0.0%">
                  <c:v>0.22890510948905118</c:v>
                </c:pt>
                <c:pt idx="32" formatCode="0.0%">
                  <c:v>0.23708029197080305</c:v>
                </c:pt>
                <c:pt idx="33" formatCode="0.0%">
                  <c:v>0.24525547445255491</c:v>
                </c:pt>
              </c:numCache>
            </c:numRef>
          </c:val>
          <c:extLst>
            <c:ext xmlns:c16="http://schemas.microsoft.com/office/drawing/2014/chart" uri="{C3380CC4-5D6E-409C-BE32-E72D297353CC}">
              <c16:uniqueId val="{00000000-3119-4DD8-BDAA-21587AF2C9CD}"/>
            </c:ext>
          </c:extLst>
        </c:ser>
        <c:ser>
          <c:idx val="12"/>
          <c:order val="4"/>
          <c:tx>
            <c:strRef>
              <c:f>'Main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calculations'!$FF$7:$FF$40</c:f>
              <c:numCache>
                <c:formatCode>0.00%</c:formatCode>
                <c:ptCount val="34"/>
                <c:pt idx="0">
                  <c:v>0</c:v>
                </c:pt>
                <c:pt idx="1">
                  <c:v>0</c:v>
                </c:pt>
                <c:pt idx="2">
                  <c:v>0</c:v>
                </c:pt>
                <c:pt idx="3">
                  <c:v>0</c:v>
                </c:pt>
                <c:pt idx="4" formatCode="0.0%">
                  <c:v>3.4793187347932353E-3</c:v>
                </c:pt>
                <c:pt idx="5" formatCode="0.0%">
                  <c:v>6.9586374695863595E-3</c:v>
                </c:pt>
                <c:pt idx="6" formatCode="0.0%">
                  <c:v>1.0437956204379595E-2</c:v>
                </c:pt>
                <c:pt idx="7" formatCode="0.0%">
                  <c:v>1.3917274939172719E-2</c:v>
                </c:pt>
                <c:pt idx="8" formatCode="0.0%">
                  <c:v>1.7396593673965954E-2</c:v>
                </c:pt>
                <c:pt idx="9" formatCode="0.0%">
                  <c:v>2.0875912408759079E-2</c:v>
                </c:pt>
                <c:pt idx="10" formatCode="0.0%">
                  <c:v>2.4355231143552314E-2</c:v>
                </c:pt>
                <c:pt idx="11" formatCode="0.0%">
                  <c:v>2.7834549878345549E-2</c:v>
                </c:pt>
                <c:pt idx="12" formatCode="0.0%">
                  <c:v>3.1313868613138673E-2</c:v>
                </c:pt>
                <c:pt idx="13" formatCode="0.0%">
                  <c:v>3.4793187347931909E-2</c:v>
                </c:pt>
                <c:pt idx="14" formatCode="0.0%">
                  <c:v>3.8272506082725033E-2</c:v>
                </c:pt>
                <c:pt idx="15" formatCode="0.0%">
                  <c:v>4.1751824817518268E-2</c:v>
                </c:pt>
                <c:pt idx="16" formatCode="0.0%">
                  <c:v>4.5231143552311392E-2</c:v>
                </c:pt>
                <c:pt idx="17" formatCode="0.0%">
                  <c:v>4.8710462287104628E-2</c:v>
                </c:pt>
                <c:pt idx="18" formatCode="0.0%">
                  <c:v>5.2189781021897752E-2</c:v>
                </c:pt>
                <c:pt idx="19" formatCode="0.0%">
                  <c:v>5.5669099756690987E-2</c:v>
                </c:pt>
                <c:pt idx="20" formatCode="0.0%">
                  <c:v>5.9148418491484223E-2</c:v>
                </c:pt>
                <c:pt idx="21" formatCode="0.0%">
                  <c:v>6.2627737226277347E-2</c:v>
                </c:pt>
                <c:pt idx="22" formatCode="0.0%">
                  <c:v>6.6107055961070582E-2</c:v>
                </c:pt>
                <c:pt idx="23" formatCode="0.0%">
                  <c:v>6.9586374695863706E-2</c:v>
                </c:pt>
                <c:pt idx="24" formatCode="0.0%">
                  <c:v>7.3065693430656942E-2</c:v>
                </c:pt>
                <c:pt idx="25" formatCode="0.0%">
                  <c:v>7.6545012165450177E-2</c:v>
                </c:pt>
                <c:pt idx="26" formatCode="0.0%">
                  <c:v>8.0024330900243301E-2</c:v>
                </c:pt>
                <c:pt idx="27" formatCode="0.0%">
                  <c:v>8.3503649635036536E-2</c:v>
                </c:pt>
                <c:pt idx="28" formatCode="0.0%">
                  <c:v>8.6982968369829772E-2</c:v>
                </c:pt>
                <c:pt idx="29" formatCode="0.0%">
                  <c:v>9.0462287104622896E-2</c:v>
                </c:pt>
                <c:pt idx="30" formatCode="0.0%">
                  <c:v>9.3941605839416131E-2</c:v>
                </c:pt>
                <c:pt idx="31" formatCode="0.0%">
                  <c:v>9.7420924574209256E-2</c:v>
                </c:pt>
                <c:pt idx="32" formatCode="0.0%">
                  <c:v>0.10090024330900249</c:v>
                </c:pt>
                <c:pt idx="33" formatCode="0.0%">
                  <c:v>0.10437956204379573</c:v>
                </c:pt>
              </c:numCache>
            </c:numRef>
          </c:val>
          <c:extLst>
            <c:ext xmlns:c16="http://schemas.microsoft.com/office/drawing/2014/chart" uri="{C3380CC4-5D6E-409C-BE32-E72D297353CC}">
              <c16:uniqueId val="{0000001D-3119-4DD8-BDAA-21587AF2C9CD}"/>
            </c:ext>
          </c:extLst>
        </c:ser>
        <c:ser>
          <c:idx val="7"/>
          <c:order val="5"/>
          <c:tx>
            <c:strRef>
              <c:f>'Main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calculations'!$FG$7:$FG$40</c:f>
              <c:numCache>
                <c:formatCode>0.00%</c:formatCode>
                <c:ptCount val="34"/>
                <c:pt idx="0">
                  <c:v>0</c:v>
                </c:pt>
                <c:pt idx="1">
                  <c:v>0</c:v>
                </c:pt>
                <c:pt idx="2">
                  <c:v>0</c:v>
                </c:pt>
                <c:pt idx="3">
                  <c:v>0</c:v>
                </c:pt>
                <c:pt idx="4" formatCode="0.0%">
                  <c:v>1.6788321167883202E-3</c:v>
                </c:pt>
                <c:pt idx="5" formatCode="0.0%">
                  <c:v>3.3576642335766405E-3</c:v>
                </c:pt>
                <c:pt idx="6" formatCode="0.0%">
                  <c:v>5.0364963503649607E-3</c:v>
                </c:pt>
                <c:pt idx="7" formatCode="0.0%">
                  <c:v>6.7153284671532809E-3</c:v>
                </c:pt>
                <c:pt idx="8" formatCode="0.0%">
                  <c:v>8.3941605839416011E-3</c:v>
                </c:pt>
                <c:pt idx="9" formatCode="0.0%">
                  <c:v>1.0072992700729921E-2</c:v>
                </c:pt>
                <c:pt idx="10" formatCode="0.0%">
                  <c:v>1.1751824817518242E-2</c:v>
                </c:pt>
                <c:pt idx="11" formatCode="0.0%">
                  <c:v>1.3430656934306562E-2</c:v>
                </c:pt>
                <c:pt idx="12" formatCode="0.0%">
                  <c:v>1.5109489051094882E-2</c:v>
                </c:pt>
                <c:pt idx="13" formatCode="0.0%">
                  <c:v>1.6788321167883202E-2</c:v>
                </c:pt>
                <c:pt idx="14" formatCode="0.0%">
                  <c:v>1.8467153284671523E-2</c:v>
                </c:pt>
                <c:pt idx="15" formatCode="0.0%">
                  <c:v>2.0145985401459843E-2</c:v>
                </c:pt>
                <c:pt idx="16" formatCode="0.0%">
                  <c:v>2.1824817518248163E-2</c:v>
                </c:pt>
                <c:pt idx="17" formatCode="0.0%">
                  <c:v>2.3503649635036483E-2</c:v>
                </c:pt>
                <c:pt idx="18" formatCode="0.0%">
                  <c:v>2.5182481751824803E-2</c:v>
                </c:pt>
                <c:pt idx="19" formatCode="0.0%">
                  <c:v>2.6861313868613124E-2</c:v>
                </c:pt>
                <c:pt idx="20" formatCode="0.0%">
                  <c:v>2.8540145985401444E-2</c:v>
                </c:pt>
                <c:pt idx="21" formatCode="0.0%">
                  <c:v>3.0218978102189764E-2</c:v>
                </c:pt>
                <c:pt idx="22" formatCode="0.0%">
                  <c:v>3.1897810218978084E-2</c:v>
                </c:pt>
                <c:pt idx="23" formatCode="0.0%">
                  <c:v>3.3576642335766405E-2</c:v>
                </c:pt>
                <c:pt idx="24" formatCode="0.0%">
                  <c:v>3.5255474452554725E-2</c:v>
                </c:pt>
                <c:pt idx="25" formatCode="0.0%">
                  <c:v>3.6934306569343045E-2</c:v>
                </c:pt>
                <c:pt idx="26" formatCode="0.0%">
                  <c:v>3.8613138686131365E-2</c:v>
                </c:pt>
                <c:pt idx="27" formatCode="0.0%">
                  <c:v>4.0291970802919685E-2</c:v>
                </c:pt>
                <c:pt idx="28" formatCode="0.0%">
                  <c:v>4.1970802919708006E-2</c:v>
                </c:pt>
                <c:pt idx="29" formatCode="0.0%">
                  <c:v>4.3649635036496326E-2</c:v>
                </c:pt>
                <c:pt idx="30" formatCode="0.0%">
                  <c:v>4.5328467153284646E-2</c:v>
                </c:pt>
                <c:pt idx="31" formatCode="0.0%">
                  <c:v>4.7007299270072966E-2</c:v>
                </c:pt>
                <c:pt idx="32" formatCode="0.0%">
                  <c:v>4.8686131386861287E-2</c:v>
                </c:pt>
                <c:pt idx="33" formatCode="0.0%">
                  <c:v>5.0364963503649607E-2</c:v>
                </c:pt>
              </c:numCache>
            </c:numRef>
          </c:val>
          <c:extLst>
            <c:ext xmlns:c16="http://schemas.microsoft.com/office/drawing/2014/chart" uri="{C3380CC4-5D6E-409C-BE32-E72D297353CC}">
              <c16:uniqueId val="{00000007-3119-4DD8-BDAA-21587AF2C9CD}"/>
            </c:ext>
          </c:extLst>
        </c:ser>
        <c:ser>
          <c:idx val="5"/>
          <c:order val="6"/>
          <c:tx>
            <c:strRef>
              <c:f>'Main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3.2142857142857251E-3</c:v>
                </c:pt>
                <c:pt idx="14" formatCode="0.0%">
                  <c:v>6.4285714285714501E-3</c:v>
                </c:pt>
                <c:pt idx="15" formatCode="0.0%">
                  <c:v>9.6428571428571752E-3</c:v>
                </c:pt>
                <c:pt idx="16" formatCode="0.0%">
                  <c:v>1.28571428571429E-2</c:v>
                </c:pt>
                <c:pt idx="17" formatCode="0.0%">
                  <c:v>1.6071428571428625E-2</c:v>
                </c:pt>
                <c:pt idx="18" formatCode="0.0%">
                  <c:v>1.9285714285714239E-2</c:v>
                </c:pt>
                <c:pt idx="19" formatCode="0.0%">
                  <c:v>2.2499999999999964E-2</c:v>
                </c:pt>
                <c:pt idx="20" formatCode="0.0%">
                  <c:v>2.571428571428569E-2</c:v>
                </c:pt>
                <c:pt idx="21" formatCode="0.0%">
                  <c:v>2.8928571428571415E-2</c:v>
                </c:pt>
                <c:pt idx="22" formatCode="0.0%">
                  <c:v>3.214285714285714E-2</c:v>
                </c:pt>
                <c:pt idx="23" formatCode="0.0%">
                  <c:v>3.5357142857142865E-2</c:v>
                </c:pt>
                <c:pt idx="24" formatCode="0.0%">
                  <c:v>3.857142857142859E-2</c:v>
                </c:pt>
                <c:pt idx="25" formatCode="0.0%">
                  <c:v>4.1785714285714315E-2</c:v>
                </c:pt>
                <c:pt idx="26" formatCode="0.0%">
                  <c:v>4.500000000000004E-2</c:v>
                </c:pt>
                <c:pt idx="27" formatCode="0.0%">
                  <c:v>4.8214285714285765E-2</c:v>
                </c:pt>
                <c:pt idx="28" formatCode="0.0%">
                  <c:v>5.1428571428571379E-2</c:v>
                </c:pt>
                <c:pt idx="29" formatCode="0.0%">
                  <c:v>5.4642857142857104E-2</c:v>
                </c:pt>
                <c:pt idx="30" formatCode="0.0%">
                  <c:v>5.7857142857142829E-2</c:v>
                </c:pt>
                <c:pt idx="31" formatCode="0.0%">
                  <c:v>6.1071428571428554E-2</c:v>
                </c:pt>
                <c:pt idx="32" formatCode="0.0%">
                  <c:v>6.4285714285714279E-2</c:v>
                </c:pt>
                <c:pt idx="33" formatCode="0.0%">
                  <c:v>6.7500000000000004E-2</c:v>
                </c:pt>
              </c:numCache>
            </c:numRef>
          </c:val>
          <c:extLst>
            <c:ext xmlns:c16="http://schemas.microsoft.com/office/drawing/2014/chart" uri="{C3380CC4-5D6E-409C-BE32-E72D297353CC}">
              <c16:uniqueId val="{00000005-3119-4DD8-BDAA-21587AF2C9CD}"/>
            </c:ext>
          </c:extLst>
        </c:ser>
        <c:ser>
          <c:idx val="9"/>
          <c:order val="7"/>
          <c:tx>
            <c:strRef>
              <c:f>'Main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8.6538461538465672E-4</c:v>
                </c:pt>
                <c:pt idx="9" formatCode="0.0%">
                  <c:v>1.7307692307692024E-3</c:v>
                </c:pt>
                <c:pt idx="10" formatCode="0.0%">
                  <c:v>2.5961538461538591E-3</c:v>
                </c:pt>
                <c:pt idx="11" formatCode="0.0%">
                  <c:v>3.4615384615385159E-3</c:v>
                </c:pt>
                <c:pt idx="12" formatCode="0.0%">
                  <c:v>4.3269230769230616E-3</c:v>
                </c:pt>
                <c:pt idx="13" formatCode="0.0%">
                  <c:v>5.1923076923077183E-3</c:v>
                </c:pt>
                <c:pt idx="14" formatCode="0.0%">
                  <c:v>6.057692307692264E-3</c:v>
                </c:pt>
                <c:pt idx="15" formatCode="0.0%">
                  <c:v>6.9230769230769207E-3</c:v>
                </c:pt>
                <c:pt idx="16" formatCode="0.0%">
                  <c:v>7.7884615384615774E-3</c:v>
                </c:pt>
                <c:pt idx="17" formatCode="0.0%">
                  <c:v>8.6538461538461231E-3</c:v>
                </c:pt>
                <c:pt idx="18" formatCode="0.0%">
                  <c:v>9.5192307692307798E-3</c:v>
                </c:pt>
                <c:pt idx="19" formatCode="0.0%">
                  <c:v>1.0384615384615437E-2</c:v>
                </c:pt>
                <c:pt idx="20" formatCode="0.0%">
                  <c:v>1.1249999999999982E-2</c:v>
                </c:pt>
                <c:pt idx="21" formatCode="0.0%">
                  <c:v>1.2115384615384639E-2</c:v>
                </c:pt>
                <c:pt idx="22" formatCode="0.0%">
                  <c:v>1.2980769230769185E-2</c:v>
                </c:pt>
                <c:pt idx="23" formatCode="0.0%">
                  <c:v>1.3846153846153841E-2</c:v>
                </c:pt>
                <c:pt idx="24" formatCode="0.0%">
                  <c:v>1.4711538461538498E-2</c:v>
                </c:pt>
                <c:pt idx="25" formatCode="0.0%">
                  <c:v>1.5576923076923044E-2</c:v>
                </c:pt>
                <c:pt idx="26" formatCode="0.0%">
                  <c:v>1.6442307692307701E-2</c:v>
                </c:pt>
                <c:pt idx="27" formatCode="0.0%">
                  <c:v>1.7307692307692357E-2</c:v>
                </c:pt>
                <c:pt idx="28" formatCode="0.0%">
                  <c:v>1.8173076923076903E-2</c:v>
                </c:pt>
                <c:pt idx="29" formatCode="0.0%">
                  <c:v>1.903846153846156E-2</c:v>
                </c:pt>
                <c:pt idx="30" formatCode="0.0%">
                  <c:v>1.9903846153846105E-2</c:v>
                </c:pt>
                <c:pt idx="31" formatCode="0.0%">
                  <c:v>2.0769230769230762E-2</c:v>
                </c:pt>
                <c:pt idx="32" formatCode="0.0%">
                  <c:v>2.1634615384615419E-2</c:v>
                </c:pt>
                <c:pt idx="33" formatCode="0.0%">
                  <c:v>2.2499999999999964E-2</c:v>
                </c:pt>
              </c:numCache>
            </c:numRef>
          </c:val>
          <c:extLst>
            <c:ext xmlns:c16="http://schemas.microsoft.com/office/drawing/2014/chart" uri="{C3380CC4-5D6E-409C-BE32-E72D297353CC}">
              <c16:uniqueId val="{0000000A-3119-4DD8-BDAA-21587AF2C9CD}"/>
            </c:ext>
          </c:extLst>
        </c:ser>
        <c:ser>
          <c:idx val="6"/>
          <c:order val="8"/>
          <c:tx>
            <c:strRef>
              <c:f>'Main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calculations'!$FJ$7:$FJ$40</c:f>
              <c:numCache>
                <c:formatCode>0.00%</c:formatCode>
                <c:ptCount val="34"/>
                <c:pt idx="0">
                  <c:v>0</c:v>
                </c:pt>
                <c:pt idx="1">
                  <c:v>0</c:v>
                </c:pt>
                <c:pt idx="2">
                  <c:v>0</c:v>
                </c:pt>
                <c:pt idx="3">
                  <c:v>0</c:v>
                </c:pt>
                <c:pt idx="4" formatCode="0.0%">
                  <c:v>0</c:v>
                </c:pt>
                <c:pt idx="5" formatCode="0.0%">
                  <c:v>0</c:v>
                </c:pt>
                <c:pt idx="6" formatCode="0.0%">
                  <c:v>2.4999999999997247E-4</c:v>
                </c:pt>
                <c:pt idx="7" formatCode="0.0%">
                  <c:v>4.9999999999994493E-4</c:v>
                </c:pt>
                <c:pt idx="8" formatCode="0.0%">
                  <c:v>7.5000000000002842E-4</c:v>
                </c:pt>
                <c:pt idx="9" formatCode="0.0%">
                  <c:v>1.0000000000000009E-3</c:v>
                </c:pt>
                <c:pt idx="10" formatCode="0.0%">
                  <c:v>1.2499999999999734E-3</c:v>
                </c:pt>
                <c:pt idx="11" formatCode="0.0%">
                  <c:v>1.4999999999999458E-3</c:v>
                </c:pt>
                <c:pt idx="12" formatCode="0.0%">
                  <c:v>1.7500000000000293E-3</c:v>
                </c:pt>
                <c:pt idx="13" formatCode="0.0%">
                  <c:v>2.0000000000000018E-3</c:v>
                </c:pt>
                <c:pt idx="14" formatCode="0.0%">
                  <c:v>2.2499999999999742E-3</c:v>
                </c:pt>
                <c:pt idx="15" formatCode="0.0%">
                  <c:v>2.4999999999999467E-3</c:v>
                </c:pt>
                <c:pt idx="16" formatCode="0.0%">
                  <c:v>2.7500000000000302E-3</c:v>
                </c:pt>
                <c:pt idx="17" formatCode="0.0%">
                  <c:v>3.0000000000000027E-3</c:v>
                </c:pt>
                <c:pt idx="18" formatCode="0.0%">
                  <c:v>3.2499999999999751E-3</c:v>
                </c:pt>
                <c:pt idx="19" formatCode="0.0%">
                  <c:v>3.4999999999999476E-3</c:v>
                </c:pt>
                <c:pt idx="20" formatCode="0.0%">
                  <c:v>3.7500000000000311E-3</c:v>
                </c:pt>
                <c:pt idx="21" formatCode="0.0%">
                  <c:v>4.0000000000000036E-3</c:v>
                </c:pt>
                <c:pt idx="22" formatCode="0.0%">
                  <c:v>4.249999999999976E-3</c:v>
                </c:pt>
                <c:pt idx="23" formatCode="0.0%">
                  <c:v>4.4999999999999485E-3</c:v>
                </c:pt>
                <c:pt idx="24" formatCode="0.0%">
                  <c:v>4.750000000000032E-3</c:v>
                </c:pt>
                <c:pt idx="25" formatCode="0.0%">
                  <c:v>5.0000000000000044E-3</c:v>
                </c:pt>
                <c:pt idx="26" formatCode="0.0%">
                  <c:v>5.2499999999999769E-3</c:v>
                </c:pt>
                <c:pt idx="27" formatCode="0.0%">
                  <c:v>5.4999999999999494E-3</c:v>
                </c:pt>
                <c:pt idx="28" formatCode="0.0%">
                  <c:v>5.7500000000000329E-3</c:v>
                </c:pt>
                <c:pt idx="29" formatCode="0.0%">
                  <c:v>6.0000000000000053E-3</c:v>
                </c:pt>
                <c:pt idx="30" formatCode="0.0%">
                  <c:v>6.2499999999999778E-3</c:v>
                </c:pt>
                <c:pt idx="31" formatCode="0.0%">
                  <c:v>6.4999999999999503E-3</c:v>
                </c:pt>
                <c:pt idx="32" formatCode="0.0%">
                  <c:v>6.7500000000000338E-3</c:v>
                </c:pt>
                <c:pt idx="33" formatCode="0.0%">
                  <c:v>7.0000000000000062E-3</c:v>
                </c:pt>
              </c:numCache>
            </c:numRef>
          </c:val>
          <c:extLst>
            <c:ext xmlns:c16="http://schemas.microsoft.com/office/drawing/2014/chart" uri="{C3380CC4-5D6E-409C-BE32-E72D297353CC}">
              <c16:uniqueId val="{00000006-3119-4DD8-BDAA-21587AF2C9CD}"/>
            </c:ext>
          </c:extLst>
        </c:ser>
        <c:ser>
          <c:idx val="3"/>
          <c:order val="9"/>
          <c:tx>
            <c:strRef>
              <c:f>'Main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calculations'!$FK$7:$FK$40</c:f>
              <c:numCache>
                <c:formatCode>0.00%</c:formatCode>
                <c:ptCount val="34"/>
                <c:pt idx="0">
                  <c:v>0</c:v>
                </c:pt>
                <c:pt idx="1">
                  <c:v>0</c:v>
                </c:pt>
                <c:pt idx="2">
                  <c:v>0</c:v>
                </c:pt>
                <c:pt idx="3">
                  <c:v>0</c:v>
                </c:pt>
                <c:pt idx="4" formatCode="0.0%">
                  <c:v>9.5999999999996088E-4</c:v>
                </c:pt>
                <c:pt idx="5" formatCode="0.0%">
                  <c:v>1.9200000000000328E-3</c:v>
                </c:pt>
                <c:pt idx="6" formatCode="0.0%">
                  <c:v>2.8799999999999937E-3</c:v>
                </c:pt>
                <c:pt idx="7" formatCode="0.0%">
                  <c:v>3.8399999999999546E-3</c:v>
                </c:pt>
                <c:pt idx="8" formatCode="0.0%">
                  <c:v>4.8000000000000265E-3</c:v>
                </c:pt>
                <c:pt idx="9" formatCode="0.0%">
                  <c:v>5.7599999999999874E-3</c:v>
                </c:pt>
                <c:pt idx="10" formatCode="0.0%">
                  <c:v>6.7199999999999482E-3</c:v>
                </c:pt>
                <c:pt idx="11" formatCode="0.0%">
                  <c:v>7.6800000000000201E-3</c:v>
                </c:pt>
                <c:pt idx="12" formatCode="0.0%">
                  <c:v>8.639999999999981E-3</c:v>
                </c:pt>
                <c:pt idx="13" formatCode="0.0%">
                  <c:v>9.6000000000000529E-3</c:v>
                </c:pt>
                <c:pt idx="14" formatCode="0.0%">
                  <c:v>1.0560000000000014E-2</c:v>
                </c:pt>
                <c:pt idx="15" formatCode="0.0%">
                  <c:v>1.1519999999999975E-2</c:v>
                </c:pt>
                <c:pt idx="16" formatCode="0.0%">
                  <c:v>1.2480000000000047E-2</c:v>
                </c:pt>
                <c:pt idx="17" formatCode="0.0%">
                  <c:v>1.3440000000000007E-2</c:v>
                </c:pt>
                <c:pt idx="18" formatCode="0.0%">
                  <c:v>1.4399999999999968E-2</c:v>
                </c:pt>
                <c:pt idx="19" formatCode="0.0%">
                  <c:v>1.536000000000004E-2</c:v>
                </c:pt>
                <c:pt idx="20" formatCode="0.0%">
                  <c:v>1.6320000000000001E-2</c:v>
                </c:pt>
                <c:pt idx="21" formatCode="0.0%">
                  <c:v>1.7279999999999962E-2</c:v>
                </c:pt>
                <c:pt idx="22" formatCode="0.0%">
                  <c:v>1.8240000000000034E-2</c:v>
                </c:pt>
                <c:pt idx="23" formatCode="0.0%">
                  <c:v>1.9199999999999995E-2</c:v>
                </c:pt>
                <c:pt idx="24" formatCode="0.0%">
                  <c:v>2.0159999999999956E-2</c:v>
                </c:pt>
                <c:pt idx="25" formatCode="0.0%">
                  <c:v>2.1120000000000028E-2</c:v>
                </c:pt>
                <c:pt idx="26" formatCode="0.0%">
                  <c:v>2.2079999999999989E-2</c:v>
                </c:pt>
                <c:pt idx="27" formatCode="0.0%">
                  <c:v>2.3039999999999949E-2</c:v>
                </c:pt>
                <c:pt idx="28" formatCode="0.0%">
                  <c:v>2.4000000000000021E-2</c:v>
                </c:pt>
                <c:pt idx="29" formatCode="0.0%">
                  <c:v>2.4959999999999982E-2</c:v>
                </c:pt>
                <c:pt idx="30" formatCode="0.0%">
                  <c:v>2.5919999999999943E-2</c:v>
                </c:pt>
                <c:pt idx="31" formatCode="0.0%">
                  <c:v>2.6880000000000015E-2</c:v>
                </c:pt>
                <c:pt idx="32" formatCode="0.0%">
                  <c:v>2.7839999999999976E-2</c:v>
                </c:pt>
                <c:pt idx="33" formatCode="0.0%">
                  <c:v>2.8799999999999937E-2</c:v>
                </c:pt>
              </c:numCache>
            </c:numRef>
          </c:val>
          <c:extLst>
            <c:ext xmlns:c16="http://schemas.microsoft.com/office/drawing/2014/chart" uri="{C3380CC4-5D6E-409C-BE32-E72D297353CC}">
              <c16:uniqueId val="{0000001E-3119-4DD8-BDAA-21587AF2C9C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02-3119-4DD8-BDAA-21587AF2C9CD}"/>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F-3119-4DD8-BDAA-21587AF2C9CD}"/>
              </c:ext>
            </c:extLst>
          </c:dPt>
          <c:dLbls>
            <c:dLbl>
              <c:idx val="3"/>
              <c:layout>
                <c:manualLayout>
                  <c:x val="-3.6657825103837582E-2"/>
                  <c:y val="0.32260399546126595"/>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497936077745884"/>
                      <c:h val="3.3486916755492903E-2"/>
                    </c:manualLayout>
                  </c15:layout>
                </c:ext>
                <c:ext xmlns:c16="http://schemas.microsoft.com/office/drawing/2014/chart" uri="{C3380CC4-5D6E-409C-BE32-E72D297353CC}">
                  <c16:uniqueId val="{0000001F-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0B-3119-4DD8-BDAA-21587AF2C9C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8-3119-4DD8-BDAA-21587AF2C9C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80%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calculations'!$FP$6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calculations'!$FP$7:$FP$40</c:f>
              <c:numCache>
                <c:formatCode>0%</c:formatCode>
                <c:ptCount val="34"/>
                <c:pt idx="0">
                  <c:v>1</c:v>
                </c:pt>
                <c:pt idx="1">
                  <c:v>0.98333333333333328</c:v>
                </c:pt>
                <c:pt idx="2">
                  <c:v>0.96666666666666656</c:v>
                </c:pt>
                <c:pt idx="3" formatCode="0.00%">
                  <c:v>0.95</c:v>
                </c:pt>
                <c:pt idx="4" formatCode="0.00%">
                  <c:v>0.93404941176470579</c:v>
                </c:pt>
                <c:pt idx="5" formatCode="0.00%">
                  <c:v>0.91809882352941174</c:v>
                </c:pt>
                <c:pt idx="6" formatCode="0.00%">
                  <c:v>0.89813662603421418</c:v>
                </c:pt>
                <c:pt idx="7" formatCode="0.00%">
                  <c:v>0.87781323146075596</c:v>
                </c:pt>
                <c:pt idx="8" formatCode="0.00%">
                  <c:v>0.85626325519365198</c:v>
                </c:pt>
                <c:pt idx="9" formatCode="0.00%">
                  <c:v>0.83435208184828735</c:v>
                </c:pt>
                <c:pt idx="10" formatCode="0.00%">
                  <c:v>0.81207971142466173</c:v>
                </c:pt>
                <c:pt idx="11" formatCode="0.00%">
                  <c:v>0.78944614392277512</c:v>
                </c:pt>
                <c:pt idx="12" formatCode="0.00%">
                  <c:v>0.76645137934262797</c:v>
                </c:pt>
                <c:pt idx="13" formatCode="0.00%">
                  <c:v>0.73988113196993388</c:v>
                </c:pt>
                <c:pt idx="14" formatCode="0.00%">
                  <c:v>0.71294968751897925</c:v>
                </c:pt>
                <c:pt idx="15" formatCode="0.00%">
                  <c:v>0.68565704598976362</c:v>
                </c:pt>
                <c:pt idx="16" formatCode="0.00%">
                  <c:v>0.6580032073822869</c:v>
                </c:pt>
                <c:pt idx="17" formatCode="0.00%">
                  <c:v>0.62998817169654964</c:v>
                </c:pt>
                <c:pt idx="18" formatCode="0.00%">
                  <c:v>0.60161193893255149</c:v>
                </c:pt>
                <c:pt idx="19" formatCode="0.00%">
                  <c:v>0.57287450909029214</c:v>
                </c:pt>
                <c:pt idx="20" formatCode="0.00%">
                  <c:v>0.54377588216977224</c:v>
                </c:pt>
                <c:pt idx="21" formatCode="0.00%">
                  <c:v>0.51930664640628543</c:v>
                </c:pt>
                <c:pt idx="22" formatCode="0.00%">
                  <c:v>0.49447621356453775</c:v>
                </c:pt>
                <c:pt idx="23" formatCode="0.00%">
                  <c:v>0.4692845836445293</c:v>
                </c:pt>
                <c:pt idx="24" formatCode="0.00%">
                  <c:v>0.44373175664625986</c:v>
                </c:pt>
                <c:pt idx="25" formatCode="0.00%">
                  <c:v>0.41781773256972943</c:v>
                </c:pt>
                <c:pt idx="26" formatCode="0.00%">
                  <c:v>0.39154251141493857</c:v>
                </c:pt>
                <c:pt idx="27" formatCode="0.00%">
                  <c:v>0.3649060931818866</c:v>
                </c:pt>
                <c:pt idx="28" formatCode="0.00%">
                  <c:v>0.33790847787057354</c:v>
                </c:pt>
                <c:pt idx="29" formatCode="0.00%">
                  <c:v>0.31054966548099994</c:v>
                </c:pt>
                <c:pt idx="30" formatCode="0.00%">
                  <c:v>0.28282965601316545</c:v>
                </c:pt>
                <c:pt idx="31" formatCode="0.00%">
                  <c:v>0.25474844946706987</c:v>
                </c:pt>
                <c:pt idx="32" formatCode="0.00%">
                  <c:v>0.22630604584271341</c:v>
                </c:pt>
                <c:pt idx="33" formatCode="0.00%">
                  <c:v>0.19750244514009641</c:v>
                </c:pt>
              </c:numCache>
            </c:numRef>
          </c:val>
          <c:extLst>
            <c:ext xmlns:c16="http://schemas.microsoft.com/office/drawing/2014/chart" uri="{C3380CC4-5D6E-409C-BE32-E72D297353CC}">
              <c16:uniqueId val="{00000001-3119-4DD8-BDAA-21587AF2C9CD}"/>
            </c:ext>
          </c:extLst>
        </c:ser>
        <c:ser>
          <c:idx val="11"/>
          <c:order val="1"/>
          <c:tx>
            <c:strRef>
              <c:f>'Main calculations'!$FR$6</c:f>
              <c:strCache>
                <c:ptCount val="1"/>
                <c:pt idx="0">
                  <c:v>80%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calculations'!$FR$7:$FR$40</c:f>
              <c:numCache>
                <c:formatCode>0.00%</c:formatCode>
                <c:ptCount val="34"/>
                <c:pt idx="0">
                  <c:v>0</c:v>
                </c:pt>
                <c:pt idx="1">
                  <c:v>0</c:v>
                </c:pt>
                <c:pt idx="2">
                  <c:v>0</c:v>
                </c:pt>
                <c:pt idx="3">
                  <c:v>0</c:v>
                </c:pt>
                <c:pt idx="4" formatCode="0.0%">
                  <c:v>0</c:v>
                </c:pt>
                <c:pt idx="5" formatCode="0.0%">
                  <c:v>0</c:v>
                </c:pt>
                <c:pt idx="6" formatCode="0.0%">
                  <c:v>6.2080537043478273E-3</c:v>
                </c:pt>
                <c:pt idx="7" formatCode="0.0%">
                  <c:v>1.2777304486956523E-2</c:v>
                </c:pt>
                <c:pt idx="8" formatCode="0.0%">
                  <c:v>1.9707752347826089E-2</c:v>
                </c:pt>
                <c:pt idx="9" formatCode="0.0%">
                  <c:v>2.6999397286956529E-2</c:v>
                </c:pt>
                <c:pt idx="10" formatCode="0.0%">
                  <c:v>3.4652239304347833E-2</c:v>
                </c:pt>
                <c:pt idx="11" formatCode="0.0%">
                  <c:v>4.2666278400000007E-2</c:v>
                </c:pt>
                <c:pt idx="12" formatCode="0.0%">
                  <c:v>5.1041514573913045E-2</c:v>
                </c:pt>
                <c:pt idx="13" formatCode="0.0%">
                  <c:v>5.9777947826086968E-2</c:v>
                </c:pt>
                <c:pt idx="14" formatCode="0.0%">
                  <c:v>6.8875578156521747E-2</c:v>
                </c:pt>
                <c:pt idx="15" formatCode="0.0%">
                  <c:v>7.8334405565217397E-2</c:v>
                </c:pt>
                <c:pt idx="16" formatCode="0.0%">
                  <c:v>8.8154430052173924E-2</c:v>
                </c:pt>
                <c:pt idx="17" formatCode="0.0%">
                  <c:v>9.8335651617391329E-2</c:v>
                </c:pt>
                <c:pt idx="18" formatCode="0.0%">
                  <c:v>0.10887807026086958</c:v>
                </c:pt>
                <c:pt idx="19" formatCode="0.0%">
                  <c:v>0.11978168598260873</c:v>
                </c:pt>
                <c:pt idx="20" formatCode="0.0%">
                  <c:v>0.13104649878260871</c:v>
                </c:pt>
                <c:pt idx="21" formatCode="0.0%">
                  <c:v>0.14267250866086961</c:v>
                </c:pt>
                <c:pt idx="22" formatCode="0.0%">
                  <c:v>0.15465971561739134</c:v>
                </c:pt>
                <c:pt idx="23" formatCode="0.0%">
                  <c:v>0.16700811965217396</c:v>
                </c:pt>
                <c:pt idx="24" formatCode="0.0%">
                  <c:v>0.17971772076521747</c:v>
                </c:pt>
                <c:pt idx="25" formatCode="0.0%">
                  <c:v>0.1927885189565218</c:v>
                </c:pt>
                <c:pt idx="26" formatCode="0.0%">
                  <c:v>0.20622051422608706</c:v>
                </c:pt>
                <c:pt idx="27" formatCode="0.0%">
                  <c:v>0.22001370657391314</c:v>
                </c:pt>
                <c:pt idx="28" formatCode="0.0%">
                  <c:v>0.2341680960000001</c:v>
                </c:pt>
                <c:pt idx="29" formatCode="0.0%">
                  <c:v>0.24868368250434791</c:v>
                </c:pt>
                <c:pt idx="30" formatCode="0.0%">
                  <c:v>0.2635604660869566</c:v>
                </c:pt>
                <c:pt idx="31" formatCode="0.0%">
                  <c:v>0.27879844674782617</c:v>
                </c:pt>
                <c:pt idx="32" formatCode="0.0%">
                  <c:v>0.29439762448695667</c:v>
                </c:pt>
                <c:pt idx="33" formatCode="0.0%">
                  <c:v>0.31035799930434793</c:v>
                </c:pt>
              </c:numCache>
            </c:numRef>
          </c:val>
          <c:extLst>
            <c:ext xmlns:c16="http://schemas.microsoft.com/office/drawing/2014/chart" uri="{C3380CC4-5D6E-409C-BE32-E72D297353CC}">
              <c16:uniqueId val="{0000001A-3119-4DD8-BDAA-21587AF2C9CD}"/>
            </c:ext>
          </c:extLst>
        </c:ser>
        <c:ser>
          <c:idx val="4"/>
          <c:order val="2"/>
          <c:tx>
            <c:strRef>
              <c:f>'Main calculations'!$FS$6</c:f>
              <c:strCache>
                <c:ptCount val="1"/>
                <c:pt idx="0">
                  <c:v>ICE fuel efficiency@80%BEV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calculations'!$FS$7:$FS$40</c:f>
              <c:numCache>
                <c:formatCode>0.00%</c:formatCode>
                <c:ptCount val="34"/>
                <c:pt idx="0">
                  <c:v>0</c:v>
                </c:pt>
                <c:pt idx="1">
                  <c:v>0</c:v>
                </c:pt>
                <c:pt idx="2">
                  <c:v>0</c:v>
                </c:pt>
                <c:pt idx="3">
                  <c:v>0</c:v>
                </c:pt>
                <c:pt idx="4" formatCode="0.0%">
                  <c:v>4.9905882352941156E-3</c:v>
                </c:pt>
                <c:pt idx="5" formatCode="0.0%">
                  <c:v>9.9811764705882312E-3</c:v>
                </c:pt>
                <c:pt idx="6" formatCode="0.0%">
                  <c:v>1.2525320261437906E-2</c:v>
                </c:pt>
                <c:pt idx="7" formatCode="0.0%">
                  <c:v>1.5069464052287573E-2</c:v>
                </c:pt>
                <c:pt idx="8" formatCode="0.0%">
                  <c:v>1.7613607843137244E-2</c:v>
                </c:pt>
                <c:pt idx="9" formatCode="0.0%">
                  <c:v>2.015775163398692E-2</c:v>
                </c:pt>
                <c:pt idx="10" formatCode="0.0%">
                  <c:v>2.2701895424836589E-2</c:v>
                </c:pt>
                <c:pt idx="11" formatCode="0.0%">
                  <c:v>2.5246039215686265E-2</c:v>
                </c:pt>
                <c:pt idx="12" formatCode="0.0%">
                  <c:v>2.7790183006535945E-2</c:v>
                </c:pt>
                <c:pt idx="13" formatCode="0.0%">
                  <c:v>3.0334326797385611E-2</c:v>
                </c:pt>
                <c:pt idx="14" formatCode="0.0%">
                  <c:v>3.2878470588235273E-2</c:v>
                </c:pt>
                <c:pt idx="15" formatCode="0.0%">
                  <c:v>3.5422614379084956E-2</c:v>
                </c:pt>
                <c:pt idx="16" formatCode="0.0%">
                  <c:v>3.7966758169934618E-2</c:v>
                </c:pt>
                <c:pt idx="17" formatCode="0.0%">
                  <c:v>4.0510901960784287E-2</c:v>
                </c:pt>
                <c:pt idx="18" formatCode="0.0%">
                  <c:v>4.3055045751633977E-2</c:v>
                </c:pt>
                <c:pt idx="19" formatCode="0.0%">
                  <c:v>4.5599189542483681E-2</c:v>
                </c:pt>
                <c:pt idx="20" formatCode="0.0%">
                  <c:v>4.814333333333333E-2</c:v>
                </c:pt>
                <c:pt idx="21" formatCode="0.0%">
                  <c:v>4.5696888888888884E-2</c:v>
                </c:pt>
                <c:pt idx="22" formatCode="0.0%">
                  <c:v>4.3250444444444439E-2</c:v>
                </c:pt>
                <c:pt idx="23" formatCode="0.0%">
                  <c:v>4.0804000000000021E-2</c:v>
                </c:pt>
                <c:pt idx="24" formatCode="0.0%">
                  <c:v>3.8357555555555554E-2</c:v>
                </c:pt>
                <c:pt idx="25" formatCode="0.0%">
                  <c:v>3.5911111111111116E-2</c:v>
                </c:pt>
                <c:pt idx="26" formatCode="0.0%">
                  <c:v>3.346466666666667E-2</c:v>
                </c:pt>
                <c:pt idx="27" formatCode="0.0%">
                  <c:v>3.1018222222222249E-2</c:v>
                </c:pt>
                <c:pt idx="28" formatCode="0.0%">
                  <c:v>2.8571777777777814E-2</c:v>
                </c:pt>
                <c:pt idx="29" formatCode="0.0%">
                  <c:v>2.6125333333333351E-2</c:v>
                </c:pt>
                <c:pt idx="30" formatCode="0.0%">
                  <c:v>2.367888888888893E-2</c:v>
                </c:pt>
                <c:pt idx="31" formatCode="0.0%">
                  <c:v>2.1232444444444481E-2</c:v>
                </c:pt>
                <c:pt idx="32" formatCode="0.0%">
                  <c:v>1.8786000000000046E-2</c:v>
                </c:pt>
                <c:pt idx="33" formatCode="0.0%">
                  <c:v>1.6339555555555583E-2</c:v>
                </c:pt>
              </c:numCache>
            </c:numRef>
          </c:val>
          <c:extLst>
            <c:ext xmlns:c16="http://schemas.microsoft.com/office/drawing/2014/chart" uri="{C3380CC4-5D6E-409C-BE32-E72D297353CC}">
              <c16:uniqueId val="{00000004-3119-4DD8-BDAA-21587AF2C9CD}"/>
            </c:ext>
          </c:extLst>
        </c:ser>
        <c:ser>
          <c:idx val="0"/>
          <c:order val="3"/>
          <c:tx>
            <c:strRef>
              <c:f>'Main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calculations'!$FE$7:$FE$40</c:f>
              <c:numCache>
                <c:formatCode>0.00%</c:formatCode>
                <c:ptCount val="34"/>
                <c:pt idx="0">
                  <c:v>0</c:v>
                </c:pt>
                <c:pt idx="1">
                  <c:v>0</c:v>
                </c:pt>
                <c:pt idx="2">
                  <c:v>0</c:v>
                </c:pt>
                <c:pt idx="3">
                  <c:v>0</c:v>
                </c:pt>
                <c:pt idx="4" formatCode="0.0%">
                  <c:v>8.1751824817518637E-3</c:v>
                </c:pt>
                <c:pt idx="5" formatCode="0.0%">
                  <c:v>1.6350364963503616E-2</c:v>
                </c:pt>
                <c:pt idx="6" formatCode="0.0%">
                  <c:v>2.452554744525548E-2</c:v>
                </c:pt>
                <c:pt idx="7" formatCode="0.0%">
                  <c:v>3.2700729927007344E-2</c:v>
                </c:pt>
                <c:pt idx="8" formatCode="0.0%">
                  <c:v>4.0875912408759096E-2</c:v>
                </c:pt>
                <c:pt idx="9" formatCode="0.0%">
                  <c:v>4.905109489051096E-2</c:v>
                </c:pt>
                <c:pt idx="10" formatCode="0.0%">
                  <c:v>5.7226277372262824E-2</c:v>
                </c:pt>
                <c:pt idx="11" formatCode="0.0%">
                  <c:v>6.5401459854014576E-2</c:v>
                </c:pt>
                <c:pt idx="12" formatCode="0.0%">
                  <c:v>7.357664233576644E-2</c:v>
                </c:pt>
                <c:pt idx="13" formatCode="0.0%">
                  <c:v>8.1751824817518193E-2</c:v>
                </c:pt>
                <c:pt idx="14" formatCode="0.0%">
                  <c:v>8.9927007299270056E-2</c:v>
                </c:pt>
                <c:pt idx="15" formatCode="0.0%">
                  <c:v>9.810218978102192E-2</c:v>
                </c:pt>
                <c:pt idx="16" formatCode="0.0%">
                  <c:v>0.10627737226277367</c:v>
                </c:pt>
                <c:pt idx="17" formatCode="0.0%">
                  <c:v>0.11445255474452554</c:v>
                </c:pt>
                <c:pt idx="18" formatCode="0.0%">
                  <c:v>0.1226277372262774</c:v>
                </c:pt>
                <c:pt idx="19" formatCode="0.0%">
                  <c:v>0.13080291970802915</c:v>
                </c:pt>
                <c:pt idx="20" formatCode="0.0%">
                  <c:v>0.13897810218978102</c:v>
                </c:pt>
                <c:pt idx="21" formatCode="0.0%">
                  <c:v>0.14715328467153288</c:v>
                </c:pt>
                <c:pt idx="22" formatCode="0.0%">
                  <c:v>0.15532846715328463</c:v>
                </c:pt>
                <c:pt idx="23" formatCode="0.0%">
                  <c:v>0.1635036496350365</c:v>
                </c:pt>
                <c:pt idx="24" formatCode="0.0%">
                  <c:v>0.17167883211678836</c:v>
                </c:pt>
                <c:pt idx="25" formatCode="0.0%">
                  <c:v>0.17985401459854022</c:v>
                </c:pt>
                <c:pt idx="26" formatCode="0.0%">
                  <c:v>0.18802919708029198</c:v>
                </c:pt>
                <c:pt idx="27" formatCode="0.0%">
                  <c:v>0.19620437956204384</c:v>
                </c:pt>
                <c:pt idx="28" formatCode="0.0%">
                  <c:v>0.2043795620437957</c:v>
                </c:pt>
                <c:pt idx="29" formatCode="0.0%">
                  <c:v>0.21255474452554757</c:v>
                </c:pt>
                <c:pt idx="30" formatCode="0.0%">
                  <c:v>0.22072992700729938</c:v>
                </c:pt>
                <c:pt idx="31" formatCode="0.0%">
                  <c:v>0.22890510948905118</c:v>
                </c:pt>
                <c:pt idx="32" formatCode="0.0%">
                  <c:v>0.23708029197080305</c:v>
                </c:pt>
                <c:pt idx="33" formatCode="0.0%">
                  <c:v>0.24525547445255491</c:v>
                </c:pt>
              </c:numCache>
            </c:numRef>
          </c:val>
          <c:extLst>
            <c:ext xmlns:c16="http://schemas.microsoft.com/office/drawing/2014/chart" uri="{C3380CC4-5D6E-409C-BE32-E72D297353CC}">
              <c16:uniqueId val="{00000000-3119-4DD8-BDAA-21587AF2C9CD}"/>
            </c:ext>
          </c:extLst>
        </c:ser>
        <c:ser>
          <c:idx val="12"/>
          <c:order val="4"/>
          <c:tx>
            <c:strRef>
              <c:f>'Main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calculations'!$FF$7:$FF$40</c:f>
              <c:numCache>
                <c:formatCode>0.00%</c:formatCode>
                <c:ptCount val="34"/>
                <c:pt idx="0">
                  <c:v>0</c:v>
                </c:pt>
                <c:pt idx="1">
                  <c:v>0</c:v>
                </c:pt>
                <c:pt idx="2">
                  <c:v>0</c:v>
                </c:pt>
                <c:pt idx="3">
                  <c:v>0</c:v>
                </c:pt>
                <c:pt idx="4" formatCode="0.0%">
                  <c:v>3.4793187347932353E-3</c:v>
                </c:pt>
                <c:pt idx="5" formatCode="0.0%">
                  <c:v>6.9586374695863595E-3</c:v>
                </c:pt>
                <c:pt idx="6" formatCode="0.0%">
                  <c:v>1.0437956204379595E-2</c:v>
                </c:pt>
                <c:pt idx="7" formatCode="0.0%">
                  <c:v>1.3917274939172719E-2</c:v>
                </c:pt>
                <c:pt idx="8" formatCode="0.0%">
                  <c:v>1.7396593673965954E-2</c:v>
                </c:pt>
                <c:pt idx="9" formatCode="0.0%">
                  <c:v>2.0875912408759079E-2</c:v>
                </c:pt>
                <c:pt idx="10" formatCode="0.0%">
                  <c:v>2.4355231143552314E-2</c:v>
                </c:pt>
                <c:pt idx="11" formatCode="0.0%">
                  <c:v>2.7834549878345549E-2</c:v>
                </c:pt>
                <c:pt idx="12" formatCode="0.0%">
                  <c:v>3.1313868613138673E-2</c:v>
                </c:pt>
                <c:pt idx="13" formatCode="0.0%">
                  <c:v>3.4793187347931909E-2</c:v>
                </c:pt>
                <c:pt idx="14" formatCode="0.0%">
                  <c:v>3.8272506082725033E-2</c:v>
                </c:pt>
                <c:pt idx="15" formatCode="0.0%">
                  <c:v>4.1751824817518268E-2</c:v>
                </c:pt>
                <c:pt idx="16" formatCode="0.0%">
                  <c:v>4.5231143552311392E-2</c:v>
                </c:pt>
                <c:pt idx="17" formatCode="0.0%">
                  <c:v>4.8710462287104628E-2</c:v>
                </c:pt>
                <c:pt idx="18" formatCode="0.0%">
                  <c:v>5.2189781021897752E-2</c:v>
                </c:pt>
                <c:pt idx="19" formatCode="0.0%">
                  <c:v>5.5669099756690987E-2</c:v>
                </c:pt>
                <c:pt idx="20" formatCode="0.0%">
                  <c:v>5.9148418491484223E-2</c:v>
                </c:pt>
                <c:pt idx="21" formatCode="0.0%">
                  <c:v>6.2627737226277347E-2</c:v>
                </c:pt>
                <c:pt idx="22" formatCode="0.0%">
                  <c:v>6.6107055961070582E-2</c:v>
                </c:pt>
                <c:pt idx="23" formatCode="0.0%">
                  <c:v>6.9586374695863706E-2</c:v>
                </c:pt>
                <c:pt idx="24" formatCode="0.0%">
                  <c:v>7.3065693430656942E-2</c:v>
                </c:pt>
                <c:pt idx="25" formatCode="0.0%">
                  <c:v>7.6545012165450177E-2</c:v>
                </c:pt>
                <c:pt idx="26" formatCode="0.0%">
                  <c:v>8.0024330900243301E-2</c:v>
                </c:pt>
                <c:pt idx="27" formatCode="0.0%">
                  <c:v>8.3503649635036536E-2</c:v>
                </c:pt>
                <c:pt idx="28" formatCode="0.0%">
                  <c:v>8.6982968369829772E-2</c:v>
                </c:pt>
                <c:pt idx="29" formatCode="0.0%">
                  <c:v>9.0462287104622896E-2</c:v>
                </c:pt>
                <c:pt idx="30" formatCode="0.0%">
                  <c:v>9.3941605839416131E-2</c:v>
                </c:pt>
                <c:pt idx="31" formatCode="0.0%">
                  <c:v>9.7420924574209256E-2</c:v>
                </c:pt>
                <c:pt idx="32" formatCode="0.0%">
                  <c:v>0.10090024330900249</c:v>
                </c:pt>
                <c:pt idx="33" formatCode="0.0%">
                  <c:v>0.10437956204379573</c:v>
                </c:pt>
              </c:numCache>
            </c:numRef>
          </c:val>
          <c:extLst>
            <c:ext xmlns:c16="http://schemas.microsoft.com/office/drawing/2014/chart" uri="{C3380CC4-5D6E-409C-BE32-E72D297353CC}">
              <c16:uniqueId val="{0000001D-3119-4DD8-BDAA-21587AF2C9CD}"/>
            </c:ext>
          </c:extLst>
        </c:ser>
        <c:ser>
          <c:idx val="7"/>
          <c:order val="5"/>
          <c:tx>
            <c:strRef>
              <c:f>'Main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calculations'!$FG$7:$FG$40</c:f>
              <c:numCache>
                <c:formatCode>0.00%</c:formatCode>
                <c:ptCount val="34"/>
                <c:pt idx="0">
                  <c:v>0</c:v>
                </c:pt>
                <c:pt idx="1">
                  <c:v>0</c:v>
                </c:pt>
                <c:pt idx="2">
                  <c:v>0</c:v>
                </c:pt>
                <c:pt idx="3">
                  <c:v>0</c:v>
                </c:pt>
                <c:pt idx="4" formatCode="0.0%">
                  <c:v>1.6788321167883202E-3</c:v>
                </c:pt>
                <c:pt idx="5" formatCode="0.0%">
                  <c:v>3.3576642335766405E-3</c:v>
                </c:pt>
                <c:pt idx="6" formatCode="0.0%">
                  <c:v>5.0364963503649607E-3</c:v>
                </c:pt>
                <c:pt idx="7" formatCode="0.0%">
                  <c:v>6.7153284671532809E-3</c:v>
                </c:pt>
                <c:pt idx="8" formatCode="0.0%">
                  <c:v>8.3941605839416011E-3</c:v>
                </c:pt>
                <c:pt idx="9" formatCode="0.0%">
                  <c:v>1.0072992700729921E-2</c:v>
                </c:pt>
                <c:pt idx="10" formatCode="0.0%">
                  <c:v>1.1751824817518242E-2</c:v>
                </c:pt>
                <c:pt idx="11" formatCode="0.0%">
                  <c:v>1.3430656934306562E-2</c:v>
                </c:pt>
                <c:pt idx="12" formatCode="0.0%">
                  <c:v>1.5109489051094882E-2</c:v>
                </c:pt>
                <c:pt idx="13" formatCode="0.0%">
                  <c:v>1.6788321167883202E-2</c:v>
                </c:pt>
                <c:pt idx="14" formatCode="0.0%">
                  <c:v>1.8467153284671523E-2</c:v>
                </c:pt>
                <c:pt idx="15" formatCode="0.0%">
                  <c:v>2.0145985401459843E-2</c:v>
                </c:pt>
                <c:pt idx="16" formatCode="0.0%">
                  <c:v>2.1824817518248163E-2</c:v>
                </c:pt>
                <c:pt idx="17" formatCode="0.0%">
                  <c:v>2.3503649635036483E-2</c:v>
                </c:pt>
                <c:pt idx="18" formatCode="0.0%">
                  <c:v>2.5182481751824803E-2</c:v>
                </c:pt>
                <c:pt idx="19" formatCode="0.0%">
                  <c:v>2.6861313868613124E-2</c:v>
                </c:pt>
                <c:pt idx="20" formatCode="0.0%">
                  <c:v>2.8540145985401444E-2</c:v>
                </c:pt>
                <c:pt idx="21" formatCode="0.0%">
                  <c:v>3.0218978102189764E-2</c:v>
                </c:pt>
                <c:pt idx="22" formatCode="0.0%">
                  <c:v>3.1897810218978084E-2</c:v>
                </c:pt>
                <c:pt idx="23" formatCode="0.0%">
                  <c:v>3.3576642335766405E-2</c:v>
                </c:pt>
                <c:pt idx="24" formatCode="0.0%">
                  <c:v>3.5255474452554725E-2</c:v>
                </c:pt>
                <c:pt idx="25" formatCode="0.0%">
                  <c:v>3.6934306569343045E-2</c:v>
                </c:pt>
                <c:pt idx="26" formatCode="0.0%">
                  <c:v>3.8613138686131365E-2</c:v>
                </c:pt>
                <c:pt idx="27" formatCode="0.0%">
                  <c:v>4.0291970802919685E-2</c:v>
                </c:pt>
                <c:pt idx="28" formatCode="0.0%">
                  <c:v>4.1970802919708006E-2</c:v>
                </c:pt>
                <c:pt idx="29" formatCode="0.0%">
                  <c:v>4.3649635036496326E-2</c:v>
                </c:pt>
                <c:pt idx="30" formatCode="0.0%">
                  <c:v>4.5328467153284646E-2</c:v>
                </c:pt>
                <c:pt idx="31" formatCode="0.0%">
                  <c:v>4.7007299270072966E-2</c:v>
                </c:pt>
                <c:pt idx="32" formatCode="0.0%">
                  <c:v>4.8686131386861287E-2</c:v>
                </c:pt>
                <c:pt idx="33" formatCode="0.0%">
                  <c:v>5.0364963503649607E-2</c:v>
                </c:pt>
              </c:numCache>
            </c:numRef>
          </c:val>
          <c:extLst>
            <c:ext xmlns:c16="http://schemas.microsoft.com/office/drawing/2014/chart" uri="{C3380CC4-5D6E-409C-BE32-E72D297353CC}">
              <c16:uniqueId val="{00000007-3119-4DD8-BDAA-21587AF2C9CD}"/>
            </c:ext>
          </c:extLst>
        </c:ser>
        <c:ser>
          <c:idx val="5"/>
          <c:order val="6"/>
          <c:tx>
            <c:strRef>
              <c:f>'Main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3.2142857142857251E-3</c:v>
                </c:pt>
                <c:pt idx="14" formatCode="0.0%">
                  <c:v>6.4285714285714501E-3</c:v>
                </c:pt>
                <c:pt idx="15" formatCode="0.0%">
                  <c:v>9.6428571428571752E-3</c:v>
                </c:pt>
                <c:pt idx="16" formatCode="0.0%">
                  <c:v>1.28571428571429E-2</c:v>
                </c:pt>
                <c:pt idx="17" formatCode="0.0%">
                  <c:v>1.6071428571428625E-2</c:v>
                </c:pt>
                <c:pt idx="18" formatCode="0.0%">
                  <c:v>1.9285714285714239E-2</c:v>
                </c:pt>
                <c:pt idx="19" formatCode="0.0%">
                  <c:v>2.2499999999999964E-2</c:v>
                </c:pt>
                <c:pt idx="20" formatCode="0.0%">
                  <c:v>2.571428571428569E-2</c:v>
                </c:pt>
                <c:pt idx="21" formatCode="0.0%">
                  <c:v>2.8928571428571415E-2</c:v>
                </c:pt>
                <c:pt idx="22" formatCode="0.0%">
                  <c:v>3.214285714285714E-2</c:v>
                </c:pt>
                <c:pt idx="23" formatCode="0.0%">
                  <c:v>3.5357142857142865E-2</c:v>
                </c:pt>
                <c:pt idx="24" formatCode="0.0%">
                  <c:v>3.857142857142859E-2</c:v>
                </c:pt>
                <c:pt idx="25" formatCode="0.0%">
                  <c:v>4.1785714285714315E-2</c:v>
                </c:pt>
                <c:pt idx="26" formatCode="0.0%">
                  <c:v>4.500000000000004E-2</c:v>
                </c:pt>
                <c:pt idx="27" formatCode="0.0%">
                  <c:v>4.8214285714285765E-2</c:v>
                </c:pt>
                <c:pt idx="28" formatCode="0.0%">
                  <c:v>5.1428571428571379E-2</c:v>
                </c:pt>
                <c:pt idx="29" formatCode="0.0%">
                  <c:v>5.4642857142857104E-2</c:v>
                </c:pt>
                <c:pt idx="30" formatCode="0.0%">
                  <c:v>5.7857142857142829E-2</c:v>
                </c:pt>
                <c:pt idx="31" formatCode="0.0%">
                  <c:v>6.1071428571428554E-2</c:v>
                </c:pt>
                <c:pt idx="32" formatCode="0.0%">
                  <c:v>6.4285714285714279E-2</c:v>
                </c:pt>
                <c:pt idx="33" formatCode="0.0%">
                  <c:v>6.7500000000000004E-2</c:v>
                </c:pt>
              </c:numCache>
            </c:numRef>
          </c:val>
          <c:extLst>
            <c:ext xmlns:c16="http://schemas.microsoft.com/office/drawing/2014/chart" uri="{C3380CC4-5D6E-409C-BE32-E72D297353CC}">
              <c16:uniqueId val="{00000005-3119-4DD8-BDAA-21587AF2C9CD}"/>
            </c:ext>
          </c:extLst>
        </c:ser>
        <c:ser>
          <c:idx val="9"/>
          <c:order val="7"/>
          <c:tx>
            <c:strRef>
              <c:f>'Main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8.6538461538465672E-4</c:v>
                </c:pt>
                <c:pt idx="9" formatCode="0.0%">
                  <c:v>1.7307692307692024E-3</c:v>
                </c:pt>
                <c:pt idx="10" formatCode="0.0%">
                  <c:v>2.5961538461538591E-3</c:v>
                </c:pt>
                <c:pt idx="11" formatCode="0.0%">
                  <c:v>3.4615384615385159E-3</c:v>
                </c:pt>
                <c:pt idx="12" formatCode="0.0%">
                  <c:v>4.3269230769230616E-3</c:v>
                </c:pt>
                <c:pt idx="13" formatCode="0.0%">
                  <c:v>5.1923076923077183E-3</c:v>
                </c:pt>
                <c:pt idx="14" formatCode="0.0%">
                  <c:v>6.057692307692264E-3</c:v>
                </c:pt>
                <c:pt idx="15" formatCode="0.0%">
                  <c:v>6.9230769230769207E-3</c:v>
                </c:pt>
                <c:pt idx="16" formatCode="0.0%">
                  <c:v>7.7884615384615774E-3</c:v>
                </c:pt>
                <c:pt idx="17" formatCode="0.0%">
                  <c:v>8.6538461538461231E-3</c:v>
                </c:pt>
                <c:pt idx="18" formatCode="0.0%">
                  <c:v>9.5192307692307798E-3</c:v>
                </c:pt>
                <c:pt idx="19" formatCode="0.0%">
                  <c:v>1.0384615384615437E-2</c:v>
                </c:pt>
                <c:pt idx="20" formatCode="0.0%">
                  <c:v>1.1249999999999982E-2</c:v>
                </c:pt>
                <c:pt idx="21" formatCode="0.0%">
                  <c:v>1.2115384615384639E-2</c:v>
                </c:pt>
                <c:pt idx="22" formatCode="0.0%">
                  <c:v>1.2980769230769185E-2</c:v>
                </c:pt>
                <c:pt idx="23" formatCode="0.0%">
                  <c:v>1.3846153846153841E-2</c:v>
                </c:pt>
                <c:pt idx="24" formatCode="0.0%">
                  <c:v>1.4711538461538498E-2</c:v>
                </c:pt>
                <c:pt idx="25" formatCode="0.0%">
                  <c:v>1.5576923076923044E-2</c:v>
                </c:pt>
                <c:pt idx="26" formatCode="0.0%">
                  <c:v>1.6442307692307701E-2</c:v>
                </c:pt>
                <c:pt idx="27" formatCode="0.0%">
                  <c:v>1.7307692307692357E-2</c:v>
                </c:pt>
                <c:pt idx="28" formatCode="0.0%">
                  <c:v>1.8173076923076903E-2</c:v>
                </c:pt>
                <c:pt idx="29" formatCode="0.0%">
                  <c:v>1.903846153846156E-2</c:v>
                </c:pt>
                <c:pt idx="30" formatCode="0.0%">
                  <c:v>1.9903846153846105E-2</c:v>
                </c:pt>
                <c:pt idx="31" formatCode="0.0%">
                  <c:v>2.0769230769230762E-2</c:v>
                </c:pt>
                <c:pt idx="32" formatCode="0.0%">
                  <c:v>2.1634615384615419E-2</c:v>
                </c:pt>
                <c:pt idx="33" formatCode="0.0%">
                  <c:v>2.2499999999999964E-2</c:v>
                </c:pt>
              </c:numCache>
            </c:numRef>
          </c:val>
          <c:extLst>
            <c:ext xmlns:c16="http://schemas.microsoft.com/office/drawing/2014/chart" uri="{C3380CC4-5D6E-409C-BE32-E72D297353CC}">
              <c16:uniqueId val="{0000000A-3119-4DD8-BDAA-21587AF2C9CD}"/>
            </c:ext>
          </c:extLst>
        </c:ser>
        <c:ser>
          <c:idx val="6"/>
          <c:order val="8"/>
          <c:tx>
            <c:strRef>
              <c:f>'Main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calculations'!$FJ$7:$FJ$40</c:f>
              <c:numCache>
                <c:formatCode>0.00%</c:formatCode>
                <c:ptCount val="34"/>
                <c:pt idx="0">
                  <c:v>0</c:v>
                </c:pt>
                <c:pt idx="1">
                  <c:v>0</c:v>
                </c:pt>
                <c:pt idx="2">
                  <c:v>0</c:v>
                </c:pt>
                <c:pt idx="3">
                  <c:v>0</c:v>
                </c:pt>
                <c:pt idx="4" formatCode="0.0%">
                  <c:v>0</c:v>
                </c:pt>
                <c:pt idx="5" formatCode="0.0%">
                  <c:v>0</c:v>
                </c:pt>
                <c:pt idx="6" formatCode="0.0%">
                  <c:v>2.4999999999997247E-4</c:v>
                </c:pt>
                <c:pt idx="7" formatCode="0.0%">
                  <c:v>4.9999999999994493E-4</c:v>
                </c:pt>
                <c:pt idx="8" formatCode="0.0%">
                  <c:v>7.5000000000002842E-4</c:v>
                </c:pt>
                <c:pt idx="9" formatCode="0.0%">
                  <c:v>1.0000000000000009E-3</c:v>
                </c:pt>
                <c:pt idx="10" formatCode="0.0%">
                  <c:v>1.2499999999999734E-3</c:v>
                </c:pt>
                <c:pt idx="11" formatCode="0.0%">
                  <c:v>1.4999999999999458E-3</c:v>
                </c:pt>
                <c:pt idx="12" formatCode="0.0%">
                  <c:v>1.7500000000000293E-3</c:v>
                </c:pt>
                <c:pt idx="13" formatCode="0.0%">
                  <c:v>2.0000000000000018E-3</c:v>
                </c:pt>
                <c:pt idx="14" formatCode="0.0%">
                  <c:v>2.2499999999999742E-3</c:v>
                </c:pt>
                <c:pt idx="15" formatCode="0.0%">
                  <c:v>2.4999999999999467E-3</c:v>
                </c:pt>
                <c:pt idx="16" formatCode="0.0%">
                  <c:v>2.7500000000000302E-3</c:v>
                </c:pt>
                <c:pt idx="17" formatCode="0.0%">
                  <c:v>3.0000000000000027E-3</c:v>
                </c:pt>
                <c:pt idx="18" formatCode="0.0%">
                  <c:v>3.2499999999999751E-3</c:v>
                </c:pt>
                <c:pt idx="19" formatCode="0.0%">
                  <c:v>3.4999999999999476E-3</c:v>
                </c:pt>
                <c:pt idx="20" formatCode="0.0%">
                  <c:v>3.7500000000000311E-3</c:v>
                </c:pt>
                <c:pt idx="21" formatCode="0.0%">
                  <c:v>4.0000000000000036E-3</c:v>
                </c:pt>
                <c:pt idx="22" formatCode="0.0%">
                  <c:v>4.249999999999976E-3</c:v>
                </c:pt>
                <c:pt idx="23" formatCode="0.0%">
                  <c:v>4.4999999999999485E-3</c:v>
                </c:pt>
                <c:pt idx="24" formatCode="0.0%">
                  <c:v>4.750000000000032E-3</c:v>
                </c:pt>
                <c:pt idx="25" formatCode="0.0%">
                  <c:v>5.0000000000000044E-3</c:v>
                </c:pt>
                <c:pt idx="26" formatCode="0.0%">
                  <c:v>5.2499999999999769E-3</c:v>
                </c:pt>
                <c:pt idx="27" formatCode="0.0%">
                  <c:v>5.4999999999999494E-3</c:v>
                </c:pt>
                <c:pt idx="28" formatCode="0.0%">
                  <c:v>5.7500000000000329E-3</c:v>
                </c:pt>
                <c:pt idx="29" formatCode="0.0%">
                  <c:v>6.0000000000000053E-3</c:v>
                </c:pt>
                <c:pt idx="30" formatCode="0.0%">
                  <c:v>6.2499999999999778E-3</c:v>
                </c:pt>
                <c:pt idx="31" formatCode="0.0%">
                  <c:v>6.4999999999999503E-3</c:v>
                </c:pt>
                <c:pt idx="32" formatCode="0.0%">
                  <c:v>6.7500000000000338E-3</c:v>
                </c:pt>
                <c:pt idx="33" formatCode="0.0%">
                  <c:v>7.0000000000000062E-3</c:v>
                </c:pt>
              </c:numCache>
            </c:numRef>
          </c:val>
          <c:extLst>
            <c:ext xmlns:c16="http://schemas.microsoft.com/office/drawing/2014/chart" uri="{C3380CC4-5D6E-409C-BE32-E72D297353CC}">
              <c16:uniqueId val="{00000006-3119-4DD8-BDAA-21587AF2C9CD}"/>
            </c:ext>
          </c:extLst>
        </c:ser>
        <c:ser>
          <c:idx val="3"/>
          <c:order val="9"/>
          <c:tx>
            <c:strRef>
              <c:f>'Main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calculations'!$FK$7:$FK$40</c:f>
              <c:numCache>
                <c:formatCode>0.00%</c:formatCode>
                <c:ptCount val="34"/>
                <c:pt idx="0">
                  <c:v>0</c:v>
                </c:pt>
                <c:pt idx="1">
                  <c:v>0</c:v>
                </c:pt>
                <c:pt idx="2">
                  <c:v>0</c:v>
                </c:pt>
                <c:pt idx="3">
                  <c:v>0</c:v>
                </c:pt>
                <c:pt idx="4" formatCode="0.0%">
                  <c:v>9.5999999999996088E-4</c:v>
                </c:pt>
                <c:pt idx="5" formatCode="0.0%">
                  <c:v>1.9200000000000328E-3</c:v>
                </c:pt>
                <c:pt idx="6" formatCode="0.0%">
                  <c:v>2.8799999999999937E-3</c:v>
                </c:pt>
                <c:pt idx="7" formatCode="0.0%">
                  <c:v>3.8399999999999546E-3</c:v>
                </c:pt>
                <c:pt idx="8" formatCode="0.0%">
                  <c:v>4.8000000000000265E-3</c:v>
                </c:pt>
                <c:pt idx="9" formatCode="0.0%">
                  <c:v>5.7599999999999874E-3</c:v>
                </c:pt>
                <c:pt idx="10" formatCode="0.0%">
                  <c:v>6.7199999999999482E-3</c:v>
                </c:pt>
                <c:pt idx="11" formatCode="0.0%">
                  <c:v>7.6800000000000201E-3</c:v>
                </c:pt>
                <c:pt idx="12" formatCode="0.0%">
                  <c:v>8.639999999999981E-3</c:v>
                </c:pt>
                <c:pt idx="13" formatCode="0.0%">
                  <c:v>9.6000000000000529E-3</c:v>
                </c:pt>
                <c:pt idx="14" formatCode="0.0%">
                  <c:v>1.0560000000000014E-2</c:v>
                </c:pt>
                <c:pt idx="15" formatCode="0.0%">
                  <c:v>1.1519999999999975E-2</c:v>
                </c:pt>
                <c:pt idx="16" formatCode="0.0%">
                  <c:v>1.2480000000000047E-2</c:v>
                </c:pt>
                <c:pt idx="17" formatCode="0.0%">
                  <c:v>1.3440000000000007E-2</c:v>
                </c:pt>
                <c:pt idx="18" formatCode="0.0%">
                  <c:v>1.4399999999999968E-2</c:v>
                </c:pt>
                <c:pt idx="19" formatCode="0.0%">
                  <c:v>1.536000000000004E-2</c:v>
                </c:pt>
                <c:pt idx="20" formatCode="0.0%">
                  <c:v>1.6320000000000001E-2</c:v>
                </c:pt>
                <c:pt idx="21" formatCode="0.0%">
                  <c:v>1.7279999999999962E-2</c:v>
                </c:pt>
                <c:pt idx="22" formatCode="0.0%">
                  <c:v>1.8240000000000034E-2</c:v>
                </c:pt>
                <c:pt idx="23" formatCode="0.0%">
                  <c:v>1.9199999999999995E-2</c:v>
                </c:pt>
                <c:pt idx="24" formatCode="0.0%">
                  <c:v>2.0159999999999956E-2</c:v>
                </c:pt>
                <c:pt idx="25" formatCode="0.0%">
                  <c:v>2.1120000000000028E-2</c:v>
                </c:pt>
                <c:pt idx="26" formatCode="0.0%">
                  <c:v>2.2079999999999989E-2</c:v>
                </c:pt>
                <c:pt idx="27" formatCode="0.0%">
                  <c:v>2.3039999999999949E-2</c:v>
                </c:pt>
                <c:pt idx="28" formatCode="0.0%">
                  <c:v>2.4000000000000021E-2</c:v>
                </c:pt>
                <c:pt idx="29" formatCode="0.0%">
                  <c:v>2.4959999999999982E-2</c:v>
                </c:pt>
                <c:pt idx="30" formatCode="0.0%">
                  <c:v>2.5919999999999943E-2</c:v>
                </c:pt>
                <c:pt idx="31" formatCode="0.0%">
                  <c:v>2.6880000000000015E-2</c:v>
                </c:pt>
                <c:pt idx="32" formatCode="0.0%">
                  <c:v>2.7839999999999976E-2</c:v>
                </c:pt>
                <c:pt idx="33" formatCode="0.0%">
                  <c:v>2.8799999999999937E-2</c:v>
                </c:pt>
              </c:numCache>
            </c:numRef>
          </c:val>
          <c:extLst>
            <c:ext xmlns:c16="http://schemas.microsoft.com/office/drawing/2014/chart" uri="{C3380CC4-5D6E-409C-BE32-E72D297353CC}">
              <c16:uniqueId val="{0000001E-3119-4DD8-BDAA-21587AF2C9C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02-3119-4DD8-BDAA-21587AF2C9CD}"/>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F-3119-4DD8-BDAA-21587AF2C9CD}"/>
              </c:ext>
            </c:extLst>
          </c:dPt>
          <c:dLbls>
            <c:dLbl>
              <c:idx val="3"/>
              <c:layout>
                <c:manualLayout>
                  <c:x val="-4.1555726265924076E-2"/>
                  <c:y val="0.3243507203520956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0135753152807118"/>
                      <c:h val="3.3486916755492903E-2"/>
                    </c:manualLayout>
                  </c15:layout>
                </c:ext>
                <c:ext xmlns:c16="http://schemas.microsoft.com/office/drawing/2014/chart" uri="{C3380CC4-5D6E-409C-BE32-E72D297353CC}">
                  <c16:uniqueId val="{0000001F-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0B-3119-4DD8-BDAA-21587AF2C9C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8-3119-4DD8-BDAA-21587AF2C9C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60%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calculations'!$GE$6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calculations'!$GE$7:$GE$40</c:f>
              <c:numCache>
                <c:formatCode>0%</c:formatCode>
                <c:ptCount val="34"/>
                <c:pt idx="0">
                  <c:v>1</c:v>
                </c:pt>
                <c:pt idx="1">
                  <c:v>0.98333333333333328</c:v>
                </c:pt>
                <c:pt idx="2">
                  <c:v>0.96666666666666656</c:v>
                </c:pt>
                <c:pt idx="3" formatCode="0.00%">
                  <c:v>0.95</c:v>
                </c:pt>
                <c:pt idx="4" formatCode="0.00%">
                  <c:v>0.93404941176470579</c:v>
                </c:pt>
                <c:pt idx="5" formatCode="0.00%">
                  <c:v>0.91809882352941174</c:v>
                </c:pt>
                <c:pt idx="6" formatCode="0.00%">
                  <c:v>0.8990826394603012</c:v>
                </c:pt>
                <c:pt idx="7" formatCode="0.00%">
                  <c:v>0.87979555758249506</c:v>
                </c:pt>
                <c:pt idx="8" formatCode="0.00%">
                  <c:v>0.85937219328060854</c:v>
                </c:pt>
                <c:pt idx="9" formatCode="0.00%">
                  <c:v>0.83867793117002654</c:v>
                </c:pt>
                <c:pt idx="10" formatCode="0.00%">
                  <c:v>0.8177127712507487</c:v>
                </c:pt>
                <c:pt idx="11" formatCode="0.00%">
                  <c:v>0.79647671352277516</c:v>
                </c:pt>
                <c:pt idx="12" formatCode="0.00%">
                  <c:v>0.77496975798610612</c:v>
                </c:pt>
                <c:pt idx="13" formatCode="0.00%">
                  <c:v>0.74997761892645565</c:v>
                </c:pt>
                <c:pt idx="14" formatCode="0.00%">
                  <c:v>0.72471458205810968</c:v>
                </c:pt>
                <c:pt idx="15" formatCode="0.00%">
                  <c:v>0.699180647381068</c:v>
                </c:pt>
                <c:pt idx="16" formatCode="0.00%">
                  <c:v>0.67337581489533049</c:v>
                </c:pt>
                <c:pt idx="17" formatCode="0.00%">
                  <c:v>0.64730008460089739</c:v>
                </c:pt>
                <c:pt idx="18" formatCode="0.00%">
                  <c:v>0.62095345649776901</c:v>
                </c:pt>
                <c:pt idx="19" formatCode="0.00%">
                  <c:v>0.59433593058594436</c:v>
                </c:pt>
                <c:pt idx="20" formatCode="0.00%">
                  <c:v>0.56744750686542433</c:v>
                </c:pt>
                <c:pt idx="21" formatCode="0.00%">
                  <c:v>0.54527877357150289</c:v>
                </c:pt>
                <c:pt idx="22" formatCode="0.00%">
                  <c:v>0.52283914246888563</c:v>
                </c:pt>
                <c:pt idx="23" formatCode="0.00%">
                  <c:v>0.50012861355757288</c:v>
                </c:pt>
                <c:pt idx="24" formatCode="0.00%">
                  <c:v>0.4771471868375643</c:v>
                </c:pt>
                <c:pt idx="25" formatCode="0.00%">
                  <c:v>0.45389486230885989</c:v>
                </c:pt>
                <c:pt idx="26" formatCode="0.00%">
                  <c:v>0.43037163997146033</c:v>
                </c:pt>
                <c:pt idx="27" formatCode="0.00%">
                  <c:v>0.40657751982536494</c:v>
                </c:pt>
                <c:pt idx="28" formatCode="0.00%">
                  <c:v>0.38251250187057362</c:v>
                </c:pt>
                <c:pt idx="29" formatCode="0.00%">
                  <c:v>0.35817658610708691</c:v>
                </c:pt>
                <c:pt idx="30" formatCode="0.00%">
                  <c:v>0.33356977253490472</c:v>
                </c:pt>
                <c:pt idx="31" formatCode="0.00%">
                  <c:v>0.30869206115402648</c:v>
                </c:pt>
                <c:pt idx="32" formatCode="0.00%">
                  <c:v>0.28354345196445263</c:v>
                </c:pt>
                <c:pt idx="33" formatCode="0.00%">
                  <c:v>0.25812394496618341</c:v>
                </c:pt>
              </c:numCache>
            </c:numRef>
          </c:val>
          <c:extLst>
            <c:ext xmlns:c16="http://schemas.microsoft.com/office/drawing/2014/chart" uri="{C3380CC4-5D6E-409C-BE32-E72D297353CC}">
              <c16:uniqueId val="{00000001-3119-4DD8-BDAA-21587AF2C9CD}"/>
            </c:ext>
          </c:extLst>
        </c:ser>
        <c:ser>
          <c:idx val="11"/>
          <c:order val="1"/>
          <c:tx>
            <c:strRef>
              <c:f>'Main calculations'!$GG$6</c:f>
              <c:strCache>
                <c:ptCount val="1"/>
                <c:pt idx="0">
                  <c:v>60%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calculations'!$GG$7:$GG$40</c:f>
              <c:numCache>
                <c:formatCode>0.00%</c:formatCode>
                <c:ptCount val="34"/>
                <c:pt idx="0">
                  <c:v>0</c:v>
                </c:pt>
                <c:pt idx="1">
                  <c:v>0</c:v>
                </c:pt>
                <c:pt idx="2">
                  <c:v>0</c:v>
                </c:pt>
                <c:pt idx="3">
                  <c:v>0</c:v>
                </c:pt>
                <c:pt idx="4" formatCode="0.0%">
                  <c:v>0</c:v>
                </c:pt>
                <c:pt idx="5" formatCode="0.0%">
                  <c:v>0</c:v>
                </c:pt>
                <c:pt idx="6" formatCode="0.0%">
                  <c:v>4.6560402782608694E-3</c:v>
                </c:pt>
                <c:pt idx="7" formatCode="0.0%">
                  <c:v>9.58297836521739E-3</c:v>
                </c:pt>
                <c:pt idx="8" formatCode="0.0%">
                  <c:v>1.4780814260869564E-2</c:v>
                </c:pt>
                <c:pt idx="9" formatCode="0.0%">
                  <c:v>2.0249547965217392E-2</c:v>
                </c:pt>
                <c:pt idx="10" formatCode="0.0%">
                  <c:v>2.598917947826087E-2</c:v>
                </c:pt>
                <c:pt idx="11" formatCode="0.0%">
                  <c:v>3.1999708799999999E-2</c:v>
                </c:pt>
                <c:pt idx="12" formatCode="0.0%">
                  <c:v>3.8281135930434779E-2</c:v>
                </c:pt>
                <c:pt idx="13" formatCode="0.0%">
                  <c:v>4.4833460869565217E-2</c:v>
                </c:pt>
                <c:pt idx="14" formatCode="0.0%">
                  <c:v>5.16566836173913E-2</c:v>
                </c:pt>
                <c:pt idx="15" formatCode="0.0%">
                  <c:v>5.875080417391304E-2</c:v>
                </c:pt>
                <c:pt idx="16" formatCode="0.0%">
                  <c:v>6.6115822539130426E-2</c:v>
                </c:pt>
                <c:pt idx="17" formatCode="0.0%">
                  <c:v>7.3751738713043483E-2</c:v>
                </c:pt>
                <c:pt idx="18" formatCode="0.0%">
                  <c:v>8.165855269565217E-2</c:v>
                </c:pt>
                <c:pt idx="19" formatCode="0.0%">
                  <c:v>8.983626448695653E-2</c:v>
                </c:pt>
                <c:pt idx="20" formatCode="0.0%">
                  <c:v>9.828487408695652E-2</c:v>
                </c:pt>
                <c:pt idx="21" formatCode="0.0%">
                  <c:v>0.1070043814956522</c:v>
                </c:pt>
                <c:pt idx="22" formatCode="0.0%">
                  <c:v>0.11599478671304349</c:v>
                </c:pt>
                <c:pt idx="23" formatCode="0.0%">
                  <c:v>0.12525608973913044</c:v>
                </c:pt>
                <c:pt idx="24" formatCode="0.0%">
                  <c:v>0.13478829057391306</c:v>
                </c:pt>
                <c:pt idx="25" formatCode="0.0%">
                  <c:v>0.14459138921739131</c:v>
                </c:pt>
                <c:pt idx="26" formatCode="0.0%">
                  <c:v>0.15466538566956525</c:v>
                </c:pt>
                <c:pt idx="27" formatCode="0.0%">
                  <c:v>0.16501027993043482</c:v>
                </c:pt>
                <c:pt idx="28" formatCode="0.0%">
                  <c:v>0.17562607200000002</c:v>
                </c:pt>
                <c:pt idx="29" formatCode="0.0%">
                  <c:v>0.18651276187826088</c:v>
                </c:pt>
                <c:pt idx="30" formatCode="0.0%">
                  <c:v>0.1976703495652174</c:v>
                </c:pt>
                <c:pt idx="31" formatCode="0.0%">
                  <c:v>0.2090988350608696</c:v>
                </c:pt>
                <c:pt idx="32" formatCode="0.0%">
                  <c:v>0.22079821836521743</c:v>
                </c:pt>
                <c:pt idx="33" formatCode="0.0%">
                  <c:v>0.23276849947826089</c:v>
                </c:pt>
              </c:numCache>
            </c:numRef>
          </c:val>
          <c:extLst>
            <c:ext xmlns:c16="http://schemas.microsoft.com/office/drawing/2014/chart" uri="{C3380CC4-5D6E-409C-BE32-E72D297353CC}">
              <c16:uniqueId val="{0000001A-3119-4DD8-BDAA-21587AF2C9CD}"/>
            </c:ext>
          </c:extLst>
        </c:ser>
        <c:ser>
          <c:idx val="4"/>
          <c:order val="2"/>
          <c:tx>
            <c:strRef>
              <c:f>'Main calculations'!$GH$6</c:f>
              <c:strCache>
                <c:ptCount val="1"/>
                <c:pt idx="0">
                  <c:v>ICE fuel efficiency@60%BEV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calculations'!$GH$7:$GH$40</c:f>
              <c:numCache>
                <c:formatCode>0.00%</c:formatCode>
                <c:ptCount val="34"/>
                <c:pt idx="0">
                  <c:v>0</c:v>
                </c:pt>
                <c:pt idx="1">
                  <c:v>0</c:v>
                </c:pt>
                <c:pt idx="2">
                  <c:v>0</c:v>
                </c:pt>
                <c:pt idx="3">
                  <c:v>0</c:v>
                </c:pt>
                <c:pt idx="4" formatCode="0.0%">
                  <c:v>4.9905882352941156E-3</c:v>
                </c:pt>
                <c:pt idx="5" formatCode="0.0%">
                  <c:v>9.9811764705882312E-3</c:v>
                </c:pt>
                <c:pt idx="6" formatCode="0.0%">
                  <c:v>1.3131320261437904E-2</c:v>
                </c:pt>
                <c:pt idx="7" formatCode="0.0%">
                  <c:v>1.6281464052287573E-2</c:v>
                </c:pt>
                <c:pt idx="8" formatCode="0.0%">
                  <c:v>1.9431607843137244E-2</c:v>
                </c:pt>
                <c:pt idx="9" formatCode="0.0%">
                  <c:v>2.2581751633986919E-2</c:v>
                </c:pt>
                <c:pt idx="10" formatCode="0.0%">
                  <c:v>2.5731895424836587E-2</c:v>
                </c:pt>
                <c:pt idx="11" formatCode="0.0%">
                  <c:v>2.8882039215686266E-2</c:v>
                </c:pt>
                <c:pt idx="12" formatCode="0.0%">
                  <c:v>3.2032183006535944E-2</c:v>
                </c:pt>
                <c:pt idx="13" formatCode="0.0%">
                  <c:v>3.5182326797385609E-2</c:v>
                </c:pt>
                <c:pt idx="14" formatCode="0.0%">
                  <c:v>3.8332470588235273E-2</c:v>
                </c:pt>
                <c:pt idx="15" formatCode="0.0%">
                  <c:v>4.1482614379084952E-2</c:v>
                </c:pt>
                <c:pt idx="16" formatCode="0.0%">
                  <c:v>4.4632758169934617E-2</c:v>
                </c:pt>
                <c:pt idx="17" formatCode="0.0%">
                  <c:v>4.7782901960784288E-2</c:v>
                </c:pt>
                <c:pt idx="18" formatCode="0.0%">
                  <c:v>5.0933045751633974E-2</c:v>
                </c:pt>
                <c:pt idx="19" formatCode="0.0%">
                  <c:v>5.4083189542483673E-2</c:v>
                </c:pt>
                <c:pt idx="20" formatCode="0.0%">
                  <c:v>5.7233333333333324E-2</c:v>
                </c:pt>
                <c:pt idx="21" formatCode="0.0%">
                  <c:v>5.539288888888888E-2</c:v>
                </c:pt>
                <c:pt idx="22" formatCode="0.0%">
                  <c:v>5.355244444444443E-2</c:v>
                </c:pt>
                <c:pt idx="23" formatCode="0.0%">
                  <c:v>5.1712000000000008E-2</c:v>
                </c:pt>
                <c:pt idx="24" formatCode="0.0%">
                  <c:v>4.9871555555555544E-2</c:v>
                </c:pt>
                <c:pt idx="25" formatCode="0.0%">
                  <c:v>4.8031111111111108E-2</c:v>
                </c:pt>
                <c:pt idx="26" formatCode="0.0%">
                  <c:v>4.6190666666666658E-2</c:v>
                </c:pt>
                <c:pt idx="27" formatCode="0.0%">
                  <c:v>4.4350222222222235E-2</c:v>
                </c:pt>
                <c:pt idx="28" formatCode="0.0%">
                  <c:v>4.2509777777777799E-2</c:v>
                </c:pt>
                <c:pt idx="29" formatCode="0.0%">
                  <c:v>4.0669333333333335E-2</c:v>
                </c:pt>
                <c:pt idx="30" formatCode="0.0%">
                  <c:v>3.8828888888888913E-2</c:v>
                </c:pt>
                <c:pt idx="31" formatCode="0.0%">
                  <c:v>3.6988444444444463E-2</c:v>
                </c:pt>
                <c:pt idx="32" formatCode="0.0%">
                  <c:v>3.5148000000000026E-2</c:v>
                </c:pt>
                <c:pt idx="33" formatCode="0.0%">
                  <c:v>3.3307555555555562E-2</c:v>
                </c:pt>
              </c:numCache>
            </c:numRef>
          </c:val>
          <c:extLst>
            <c:ext xmlns:c16="http://schemas.microsoft.com/office/drawing/2014/chart" uri="{C3380CC4-5D6E-409C-BE32-E72D297353CC}">
              <c16:uniqueId val="{00000004-3119-4DD8-BDAA-21587AF2C9CD}"/>
            </c:ext>
          </c:extLst>
        </c:ser>
        <c:ser>
          <c:idx val="0"/>
          <c:order val="3"/>
          <c:tx>
            <c:strRef>
              <c:f>'Main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calculations'!$FE$7:$FE$40</c:f>
              <c:numCache>
                <c:formatCode>0.00%</c:formatCode>
                <c:ptCount val="34"/>
                <c:pt idx="0">
                  <c:v>0</c:v>
                </c:pt>
                <c:pt idx="1">
                  <c:v>0</c:v>
                </c:pt>
                <c:pt idx="2">
                  <c:v>0</c:v>
                </c:pt>
                <c:pt idx="3">
                  <c:v>0</c:v>
                </c:pt>
                <c:pt idx="4" formatCode="0.0%">
                  <c:v>8.1751824817518637E-3</c:v>
                </c:pt>
                <c:pt idx="5" formatCode="0.0%">
                  <c:v>1.6350364963503616E-2</c:v>
                </c:pt>
                <c:pt idx="6" formatCode="0.0%">
                  <c:v>2.452554744525548E-2</c:v>
                </c:pt>
                <c:pt idx="7" formatCode="0.0%">
                  <c:v>3.2700729927007344E-2</c:v>
                </c:pt>
                <c:pt idx="8" formatCode="0.0%">
                  <c:v>4.0875912408759096E-2</c:v>
                </c:pt>
                <c:pt idx="9" formatCode="0.0%">
                  <c:v>4.905109489051096E-2</c:v>
                </c:pt>
                <c:pt idx="10" formatCode="0.0%">
                  <c:v>5.7226277372262824E-2</c:v>
                </c:pt>
                <c:pt idx="11" formatCode="0.0%">
                  <c:v>6.5401459854014576E-2</c:v>
                </c:pt>
                <c:pt idx="12" formatCode="0.0%">
                  <c:v>7.357664233576644E-2</c:v>
                </c:pt>
                <c:pt idx="13" formatCode="0.0%">
                  <c:v>8.1751824817518193E-2</c:v>
                </c:pt>
                <c:pt idx="14" formatCode="0.0%">
                  <c:v>8.9927007299270056E-2</c:v>
                </c:pt>
                <c:pt idx="15" formatCode="0.0%">
                  <c:v>9.810218978102192E-2</c:v>
                </c:pt>
                <c:pt idx="16" formatCode="0.0%">
                  <c:v>0.10627737226277367</c:v>
                </c:pt>
                <c:pt idx="17" formatCode="0.0%">
                  <c:v>0.11445255474452554</c:v>
                </c:pt>
                <c:pt idx="18" formatCode="0.0%">
                  <c:v>0.1226277372262774</c:v>
                </c:pt>
                <c:pt idx="19" formatCode="0.0%">
                  <c:v>0.13080291970802915</c:v>
                </c:pt>
                <c:pt idx="20" formatCode="0.0%">
                  <c:v>0.13897810218978102</c:v>
                </c:pt>
                <c:pt idx="21" formatCode="0.0%">
                  <c:v>0.14715328467153288</c:v>
                </c:pt>
                <c:pt idx="22" formatCode="0.0%">
                  <c:v>0.15532846715328463</c:v>
                </c:pt>
                <c:pt idx="23" formatCode="0.0%">
                  <c:v>0.1635036496350365</c:v>
                </c:pt>
                <c:pt idx="24" formatCode="0.0%">
                  <c:v>0.17167883211678836</c:v>
                </c:pt>
                <c:pt idx="25" formatCode="0.0%">
                  <c:v>0.17985401459854022</c:v>
                </c:pt>
                <c:pt idx="26" formatCode="0.0%">
                  <c:v>0.18802919708029198</c:v>
                </c:pt>
                <c:pt idx="27" formatCode="0.0%">
                  <c:v>0.19620437956204384</c:v>
                </c:pt>
                <c:pt idx="28" formatCode="0.0%">
                  <c:v>0.2043795620437957</c:v>
                </c:pt>
                <c:pt idx="29" formatCode="0.0%">
                  <c:v>0.21255474452554757</c:v>
                </c:pt>
                <c:pt idx="30" formatCode="0.0%">
                  <c:v>0.22072992700729938</c:v>
                </c:pt>
                <c:pt idx="31" formatCode="0.0%">
                  <c:v>0.22890510948905118</c:v>
                </c:pt>
                <c:pt idx="32" formatCode="0.0%">
                  <c:v>0.23708029197080305</c:v>
                </c:pt>
                <c:pt idx="33" formatCode="0.0%">
                  <c:v>0.24525547445255491</c:v>
                </c:pt>
              </c:numCache>
            </c:numRef>
          </c:val>
          <c:extLst>
            <c:ext xmlns:c16="http://schemas.microsoft.com/office/drawing/2014/chart" uri="{C3380CC4-5D6E-409C-BE32-E72D297353CC}">
              <c16:uniqueId val="{00000000-3119-4DD8-BDAA-21587AF2C9CD}"/>
            </c:ext>
          </c:extLst>
        </c:ser>
        <c:ser>
          <c:idx val="12"/>
          <c:order val="4"/>
          <c:tx>
            <c:strRef>
              <c:f>'Main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calculations'!$FF$7:$FF$40</c:f>
              <c:numCache>
                <c:formatCode>0.00%</c:formatCode>
                <c:ptCount val="34"/>
                <c:pt idx="0">
                  <c:v>0</c:v>
                </c:pt>
                <c:pt idx="1">
                  <c:v>0</c:v>
                </c:pt>
                <c:pt idx="2">
                  <c:v>0</c:v>
                </c:pt>
                <c:pt idx="3">
                  <c:v>0</c:v>
                </c:pt>
                <c:pt idx="4" formatCode="0.0%">
                  <c:v>3.4793187347932353E-3</c:v>
                </c:pt>
                <c:pt idx="5" formatCode="0.0%">
                  <c:v>6.9586374695863595E-3</c:v>
                </c:pt>
                <c:pt idx="6" formatCode="0.0%">
                  <c:v>1.0437956204379595E-2</c:v>
                </c:pt>
                <c:pt idx="7" formatCode="0.0%">
                  <c:v>1.3917274939172719E-2</c:v>
                </c:pt>
                <c:pt idx="8" formatCode="0.0%">
                  <c:v>1.7396593673965954E-2</c:v>
                </c:pt>
                <c:pt idx="9" formatCode="0.0%">
                  <c:v>2.0875912408759079E-2</c:v>
                </c:pt>
                <c:pt idx="10" formatCode="0.0%">
                  <c:v>2.4355231143552314E-2</c:v>
                </c:pt>
                <c:pt idx="11" formatCode="0.0%">
                  <c:v>2.7834549878345549E-2</c:v>
                </c:pt>
                <c:pt idx="12" formatCode="0.0%">
                  <c:v>3.1313868613138673E-2</c:v>
                </c:pt>
                <c:pt idx="13" formatCode="0.0%">
                  <c:v>3.4793187347931909E-2</c:v>
                </c:pt>
                <c:pt idx="14" formatCode="0.0%">
                  <c:v>3.8272506082725033E-2</c:v>
                </c:pt>
                <c:pt idx="15" formatCode="0.0%">
                  <c:v>4.1751824817518268E-2</c:v>
                </c:pt>
                <c:pt idx="16" formatCode="0.0%">
                  <c:v>4.5231143552311392E-2</c:v>
                </c:pt>
                <c:pt idx="17" formatCode="0.0%">
                  <c:v>4.8710462287104628E-2</c:v>
                </c:pt>
                <c:pt idx="18" formatCode="0.0%">
                  <c:v>5.2189781021897752E-2</c:v>
                </c:pt>
                <c:pt idx="19" formatCode="0.0%">
                  <c:v>5.5669099756690987E-2</c:v>
                </c:pt>
                <c:pt idx="20" formatCode="0.0%">
                  <c:v>5.9148418491484223E-2</c:v>
                </c:pt>
                <c:pt idx="21" formatCode="0.0%">
                  <c:v>6.2627737226277347E-2</c:v>
                </c:pt>
                <c:pt idx="22" formatCode="0.0%">
                  <c:v>6.6107055961070582E-2</c:v>
                </c:pt>
                <c:pt idx="23" formatCode="0.0%">
                  <c:v>6.9586374695863706E-2</c:v>
                </c:pt>
                <c:pt idx="24" formatCode="0.0%">
                  <c:v>7.3065693430656942E-2</c:v>
                </c:pt>
                <c:pt idx="25" formatCode="0.0%">
                  <c:v>7.6545012165450177E-2</c:v>
                </c:pt>
                <c:pt idx="26" formatCode="0.0%">
                  <c:v>8.0024330900243301E-2</c:v>
                </c:pt>
                <c:pt idx="27" formatCode="0.0%">
                  <c:v>8.3503649635036536E-2</c:v>
                </c:pt>
                <c:pt idx="28" formatCode="0.0%">
                  <c:v>8.6982968369829772E-2</c:v>
                </c:pt>
                <c:pt idx="29" formatCode="0.0%">
                  <c:v>9.0462287104622896E-2</c:v>
                </c:pt>
                <c:pt idx="30" formatCode="0.0%">
                  <c:v>9.3941605839416131E-2</c:v>
                </c:pt>
                <c:pt idx="31" formatCode="0.0%">
                  <c:v>9.7420924574209256E-2</c:v>
                </c:pt>
                <c:pt idx="32" formatCode="0.0%">
                  <c:v>0.10090024330900249</c:v>
                </c:pt>
                <c:pt idx="33" formatCode="0.0%">
                  <c:v>0.10437956204379573</c:v>
                </c:pt>
              </c:numCache>
            </c:numRef>
          </c:val>
          <c:extLst>
            <c:ext xmlns:c16="http://schemas.microsoft.com/office/drawing/2014/chart" uri="{C3380CC4-5D6E-409C-BE32-E72D297353CC}">
              <c16:uniqueId val="{0000001D-3119-4DD8-BDAA-21587AF2C9CD}"/>
            </c:ext>
          </c:extLst>
        </c:ser>
        <c:ser>
          <c:idx val="7"/>
          <c:order val="5"/>
          <c:tx>
            <c:strRef>
              <c:f>'Main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calculations'!$FG$7:$FG$40</c:f>
              <c:numCache>
                <c:formatCode>0.00%</c:formatCode>
                <c:ptCount val="34"/>
                <c:pt idx="0">
                  <c:v>0</c:v>
                </c:pt>
                <c:pt idx="1">
                  <c:v>0</c:v>
                </c:pt>
                <c:pt idx="2">
                  <c:v>0</c:v>
                </c:pt>
                <c:pt idx="3">
                  <c:v>0</c:v>
                </c:pt>
                <c:pt idx="4" formatCode="0.0%">
                  <c:v>1.6788321167883202E-3</c:v>
                </c:pt>
                <c:pt idx="5" formatCode="0.0%">
                  <c:v>3.3576642335766405E-3</c:v>
                </c:pt>
                <c:pt idx="6" formatCode="0.0%">
                  <c:v>5.0364963503649607E-3</c:v>
                </c:pt>
                <c:pt idx="7" formatCode="0.0%">
                  <c:v>6.7153284671532809E-3</c:v>
                </c:pt>
                <c:pt idx="8" formatCode="0.0%">
                  <c:v>8.3941605839416011E-3</c:v>
                </c:pt>
                <c:pt idx="9" formatCode="0.0%">
                  <c:v>1.0072992700729921E-2</c:v>
                </c:pt>
                <c:pt idx="10" formatCode="0.0%">
                  <c:v>1.1751824817518242E-2</c:v>
                </c:pt>
                <c:pt idx="11" formatCode="0.0%">
                  <c:v>1.3430656934306562E-2</c:v>
                </c:pt>
                <c:pt idx="12" formatCode="0.0%">
                  <c:v>1.5109489051094882E-2</c:v>
                </c:pt>
                <c:pt idx="13" formatCode="0.0%">
                  <c:v>1.6788321167883202E-2</c:v>
                </c:pt>
                <c:pt idx="14" formatCode="0.0%">
                  <c:v>1.8467153284671523E-2</c:v>
                </c:pt>
                <c:pt idx="15" formatCode="0.0%">
                  <c:v>2.0145985401459843E-2</c:v>
                </c:pt>
                <c:pt idx="16" formatCode="0.0%">
                  <c:v>2.1824817518248163E-2</c:v>
                </c:pt>
                <c:pt idx="17" formatCode="0.0%">
                  <c:v>2.3503649635036483E-2</c:v>
                </c:pt>
                <c:pt idx="18" formatCode="0.0%">
                  <c:v>2.5182481751824803E-2</c:v>
                </c:pt>
                <c:pt idx="19" formatCode="0.0%">
                  <c:v>2.6861313868613124E-2</c:v>
                </c:pt>
                <c:pt idx="20" formatCode="0.0%">
                  <c:v>2.8540145985401444E-2</c:v>
                </c:pt>
                <c:pt idx="21" formatCode="0.0%">
                  <c:v>3.0218978102189764E-2</c:v>
                </c:pt>
                <c:pt idx="22" formatCode="0.0%">
                  <c:v>3.1897810218978084E-2</c:v>
                </c:pt>
                <c:pt idx="23" formatCode="0.0%">
                  <c:v>3.3576642335766405E-2</c:v>
                </c:pt>
                <c:pt idx="24" formatCode="0.0%">
                  <c:v>3.5255474452554725E-2</c:v>
                </c:pt>
                <c:pt idx="25" formatCode="0.0%">
                  <c:v>3.6934306569343045E-2</c:v>
                </c:pt>
                <c:pt idx="26" formatCode="0.0%">
                  <c:v>3.8613138686131365E-2</c:v>
                </c:pt>
                <c:pt idx="27" formatCode="0.0%">
                  <c:v>4.0291970802919685E-2</c:v>
                </c:pt>
                <c:pt idx="28" formatCode="0.0%">
                  <c:v>4.1970802919708006E-2</c:v>
                </c:pt>
                <c:pt idx="29" formatCode="0.0%">
                  <c:v>4.3649635036496326E-2</c:v>
                </c:pt>
                <c:pt idx="30" formatCode="0.0%">
                  <c:v>4.5328467153284646E-2</c:v>
                </c:pt>
                <c:pt idx="31" formatCode="0.0%">
                  <c:v>4.7007299270072966E-2</c:v>
                </c:pt>
                <c:pt idx="32" formatCode="0.0%">
                  <c:v>4.8686131386861287E-2</c:v>
                </c:pt>
                <c:pt idx="33" formatCode="0.0%">
                  <c:v>5.0364963503649607E-2</c:v>
                </c:pt>
              </c:numCache>
            </c:numRef>
          </c:val>
          <c:extLst>
            <c:ext xmlns:c16="http://schemas.microsoft.com/office/drawing/2014/chart" uri="{C3380CC4-5D6E-409C-BE32-E72D297353CC}">
              <c16:uniqueId val="{00000007-3119-4DD8-BDAA-21587AF2C9CD}"/>
            </c:ext>
          </c:extLst>
        </c:ser>
        <c:ser>
          <c:idx val="5"/>
          <c:order val="6"/>
          <c:tx>
            <c:strRef>
              <c:f>'Main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3.2142857142857251E-3</c:v>
                </c:pt>
                <c:pt idx="14" formatCode="0.0%">
                  <c:v>6.4285714285714501E-3</c:v>
                </c:pt>
                <c:pt idx="15" formatCode="0.0%">
                  <c:v>9.6428571428571752E-3</c:v>
                </c:pt>
                <c:pt idx="16" formatCode="0.0%">
                  <c:v>1.28571428571429E-2</c:v>
                </c:pt>
                <c:pt idx="17" formatCode="0.0%">
                  <c:v>1.6071428571428625E-2</c:v>
                </c:pt>
                <c:pt idx="18" formatCode="0.0%">
                  <c:v>1.9285714285714239E-2</c:v>
                </c:pt>
                <c:pt idx="19" formatCode="0.0%">
                  <c:v>2.2499999999999964E-2</c:v>
                </c:pt>
                <c:pt idx="20" formatCode="0.0%">
                  <c:v>2.571428571428569E-2</c:v>
                </c:pt>
                <c:pt idx="21" formatCode="0.0%">
                  <c:v>2.8928571428571415E-2</c:v>
                </c:pt>
                <c:pt idx="22" formatCode="0.0%">
                  <c:v>3.214285714285714E-2</c:v>
                </c:pt>
                <c:pt idx="23" formatCode="0.0%">
                  <c:v>3.5357142857142865E-2</c:v>
                </c:pt>
                <c:pt idx="24" formatCode="0.0%">
                  <c:v>3.857142857142859E-2</c:v>
                </c:pt>
                <c:pt idx="25" formatCode="0.0%">
                  <c:v>4.1785714285714315E-2</c:v>
                </c:pt>
                <c:pt idx="26" formatCode="0.0%">
                  <c:v>4.500000000000004E-2</c:v>
                </c:pt>
                <c:pt idx="27" formatCode="0.0%">
                  <c:v>4.8214285714285765E-2</c:v>
                </c:pt>
                <c:pt idx="28" formatCode="0.0%">
                  <c:v>5.1428571428571379E-2</c:v>
                </c:pt>
                <c:pt idx="29" formatCode="0.0%">
                  <c:v>5.4642857142857104E-2</c:v>
                </c:pt>
                <c:pt idx="30" formatCode="0.0%">
                  <c:v>5.7857142857142829E-2</c:v>
                </c:pt>
                <c:pt idx="31" formatCode="0.0%">
                  <c:v>6.1071428571428554E-2</c:v>
                </c:pt>
                <c:pt idx="32" formatCode="0.0%">
                  <c:v>6.4285714285714279E-2</c:v>
                </c:pt>
                <c:pt idx="33" formatCode="0.0%">
                  <c:v>6.7500000000000004E-2</c:v>
                </c:pt>
              </c:numCache>
            </c:numRef>
          </c:val>
          <c:extLst>
            <c:ext xmlns:c16="http://schemas.microsoft.com/office/drawing/2014/chart" uri="{C3380CC4-5D6E-409C-BE32-E72D297353CC}">
              <c16:uniqueId val="{00000005-3119-4DD8-BDAA-21587AF2C9CD}"/>
            </c:ext>
          </c:extLst>
        </c:ser>
        <c:ser>
          <c:idx val="9"/>
          <c:order val="7"/>
          <c:tx>
            <c:strRef>
              <c:f>'Main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8.6538461538465672E-4</c:v>
                </c:pt>
                <c:pt idx="9" formatCode="0.0%">
                  <c:v>1.7307692307692024E-3</c:v>
                </c:pt>
                <c:pt idx="10" formatCode="0.0%">
                  <c:v>2.5961538461538591E-3</c:v>
                </c:pt>
                <c:pt idx="11" formatCode="0.0%">
                  <c:v>3.4615384615385159E-3</c:v>
                </c:pt>
                <c:pt idx="12" formatCode="0.0%">
                  <c:v>4.3269230769230616E-3</c:v>
                </c:pt>
                <c:pt idx="13" formatCode="0.0%">
                  <c:v>5.1923076923077183E-3</c:v>
                </c:pt>
                <c:pt idx="14" formatCode="0.0%">
                  <c:v>6.057692307692264E-3</c:v>
                </c:pt>
                <c:pt idx="15" formatCode="0.0%">
                  <c:v>6.9230769230769207E-3</c:v>
                </c:pt>
                <c:pt idx="16" formatCode="0.0%">
                  <c:v>7.7884615384615774E-3</c:v>
                </c:pt>
                <c:pt idx="17" formatCode="0.0%">
                  <c:v>8.6538461538461231E-3</c:v>
                </c:pt>
                <c:pt idx="18" formatCode="0.0%">
                  <c:v>9.5192307692307798E-3</c:v>
                </c:pt>
                <c:pt idx="19" formatCode="0.0%">
                  <c:v>1.0384615384615437E-2</c:v>
                </c:pt>
                <c:pt idx="20" formatCode="0.0%">
                  <c:v>1.1249999999999982E-2</c:v>
                </c:pt>
                <c:pt idx="21" formatCode="0.0%">
                  <c:v>1.2115384615384639E-2</c:v>
                </c:pt>
                <c:pt idx="22" formatCode="0.0%">
                  <c:v>1.2980769230769185E-2</c:v>
                </c:pt>
                <c:pt idx="23" formatCode="0.0%">
                  <c:v>1.3846153846153841E-2</c:v>
                </c:pt>
                <c:pt idx="24" formatCode="0.0%">
                  <c:v>1.4711538461538498E-2</c:v>
                </c:pt>
                <c:pt idx="25" formatCode="0.0%">
                  <c:v>1.5576923076923044E-2</c:v>
                </c:pt>
                <c:pt idx="26" formatCode="0.0%">
                  <c:v>1.6442307692307701E-2</c:v>
                </c:pt>
                <c:pt idx="27" formatCode="0.0%">
                  <c:v>1.7307692307692357E-2</c:v>
                </c:pt>
                <c:pt idx="28" formatCode="0.0%">
                  <c:v>1.8173076923076903E-2</c:v>
                </c:pt>
                <c:pt idx="29" formatCode="0.0%">
                  <c:v>1.903846153846156E-2</c:v>
                </c:pt>
                <c:pt idx="30" formatCode="0.0%">
                  <c:v>1.9903846153846105E-2</c:v>
                </c:pt>
                <c:pt idx="31" formatCode="0.0%">
                  <c:v>2.0769230769230762E-2</c:v>
                </c:pt>
                <c:pt idx="32" formatCode="0.0%">
                  <c:v>2.1634615384615419E-2</c:v>
                </c:pt>
                <c:pt idx="33" formatCode="0.0%">
                  <c:v>2.2499999999999964E-2</c:v>
                </c:pt>
              </c:numCache>
            </c:numRef>
          </c:val>
          <c:extLst>
            <c:ext xmlns:c16="http://schemas.microsoft.com/office/drawing/2014/chart" uri="{C3380CC4-5D6E-409C-BE32-E72D297353CC}">
              <c16:uniqueId val="{0000000A-3119-4DD8-BDAA-21587AF2C9CD}"/>
            </c:ext>
          </c:extLst>
        </c:ser>
        <c:ser>
          <c:idx val="6"/>
          <c:order val="8"/>
          <c:tx>
            <c:strRef>
              <c:f>'Main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calculations'!$FJ$7:$FJ$40</c:f>
              <c:numCache>
                <c:formatCode>0.00%</c:formatCode>
                <c:ptCount val="34"/>
                <c:pt idx="0">
                  <c:v>0</c:v>
                </c:pt>
                <c:pt idx="1">
                  <c:v>0</c:v>
                </c:pt>
                <c:pt idx="2">
                  <c:v>0</c:v>
                </c:pt>
                <c:pt idx="3">
                  <c:v>0</c:v>
                </c:pt>
                <c:pt idx="4" formatCode="0.0%">
                  <c:v>0</c:v>
                </c:pt>
                <c:pt idx="5" formatCode="0.0%">
                  <c:v>0</c:v>
                </c:pt>
                <c:pt idx="6" formatCode="0.0%">
                  <c:v>2.4999999999997247E-4</c:v>
                </c:pt>
                <c:pt idx="7" formatCode="0.0%">
                  <c:v>4.9999999999994493E-4</c:v>
                </c:pt>
                <c:pt idx="8" formatCode="0.0%">
                  <c:v>7.5000000000002842E-4</c:v>
                </c:pt>
                <c:pt idx="9" formatCode="0.0%">
                  <c:v>1.0000000000000009E-3</c:v>
                </c:pt>
                <c:pt idx="10" formatCode="0.0%">
                  <c:v>1.2499999999999734E-3</c:v>
                </c:pt>
                <c:pt idx="11" formatCode="0.0%">
                  <c:v>1.4999999999999458E-3</c:v>
                </c:pt>
                <c:pt idx="12" formatCode="0.0%">
                  <c:v>1.7500000000000293E-3</c:v>
                </c:pt>
                <c:pt idx="13" formatCode="0.0%">
                  <c:v>2.0000000000000018E-3</c:v>
                </c:pt>
                <c:pt idx="14" formatCode="0.0%">
                  <c:v>2.2499999999999742E-3</c:v>
                </c:pt>
                <c:pt idx="15" formatCode="0.0%">
                  <c:v>2.4999999999999467E-3</c:v>
                </c:pt>
                <c:pt idx="16" formatCode="0.0%">
                  <c:v>2.7500000000000302E-3</c:v>
                </c:pt>
                <c:pt idx="17" formatCode="0.0%">
                  <c:v>3.0000000000000027E-3</c:v>
                </c:pt>
                <c:pt idx="18" formatCode="0.0%">
                  <c:v>3.2499999999999751E-3</c:v>
                </c:pt>
                <c:pt idx="19" formatCode="0.0%">
                  <c:v>3.4999999999999476E-3</c:v>
                </c:pt>
                <c:pt idx="20" formatCode="0.0%">
                  <c:v>3.7500000000000311E-3</c:v>
                </c:pt>
                <c:pt idx="21" formatCode="0.0%">
                  <c:v>4.0000000000000036E-3</c:v>
                </c:pt>
                <c:pt idx="22" formatCode="0.0%">
                  <c:v>4.249999999999976E-3</c:v>
                </c:pt>
                <c:pt idx="23" formatCode="0.0%">
                  <c:v>4.4999999999999485E-3</c:v>
                </c:pt>
                <c:pt idx="24" formatCode="0.0%">
                  <c:v>4.750000000000032E-3</c:v>
                </c:pt>
                <c:pt idx="25" formatCode="0.0%">
                  <c:v>5.0000000000000044E-3</c:v>
                </c:pt>
                <c:pt idx="26" formatCode="0.0%">
                  <c:v>5.2499999999999769E-3</c:v>
                </c:pt>
                <c:pt idx="27" formatCode="0.0%">
                  <c:v>5.4999999999999494E-3</c:v>
                </c:pt>
                <c:pt idx="28" formatCode="0.0%">
                  <c:v>5.7500000000000329E-3</c:v>
                </c:pt>
                <c:pt idx="29" formatCode="0.0%">
                  <c:v>6.0000000000000053E-3</c:v>
                </c:pt>
                <c:pt idx="30" formatCode="0.0%">
                  <c:v>6.2499999999999778E-3</c:v>
                </c:pt>
                <c:pt idx="31" formatCode="0.0%">
                  <c:v>6.4999999999999503E-3</c:v>
                </c:pt>
                <c:pt idx="32" formatCode="0.0%">
                  <c:v>6.7500000000000338E-3</c:v>
                </c:pt>
                <c:pt idx="33" formatCode="0.0%">
                  <c:v>7.0000000000000062E-3</c:v>
                </c:pt>
              </c:numCache>
            </c:numRef>
          </c:val>
          <c:extLst>
            <c:ext xmlns:c16="http://schemas.microsoft.com/office/drawing/2014/chart" uri="{C3380CC4-5D6E-409C-BE32-E72D297353CC}">
              <c16:uniqueId val="{00000006-3119-4DD8-BDAA-21587AF2C9CD}"/>
            </c:ext>
          </c:extLst>
        </c:ser>
        <c:ser>
          <c:idx val="3"/>
          <c:order val="9"/>
          <c:tx>
            <c:strRef>
              <c:f>'Main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calculations'!$FK$7:$FK$40</c:f>
              <c:numCache>
                <c:formatCode>0.00%</c:formatCode>
                <c:ptCount val="34"/>
                <c:pt idx="0">
                  <c:v>0</c:v>
                </c:pt>
                <c:pt idx="1">
                  <c:v>0</c:v>
                </c:pt>
                <c:pt idx="2">
                  <c:v>0</c:v>
                </c:pt>
                <c:pt idx="3">
                  <c:v>0</c:v>
                </c:pt>
                <c:pt idx="4" formatCode="0.0%">
                  <c:v>9.5999999999996088E-4</c:v>
                </c:pt>
                <c:pt idx="5" formatCode="0.0%">
                  <c:v>1.9200000000000328E-3</c:v>
                </c:pt>
                <c:pt idx="6" formatCode="0.0%">
                  <c:v>2.8799999999999937E-3</c:v>
                </c:pt>
                <c:pt idx="7" formatCode="0.0%">
                  <c:v>3.8399999999999546E-3</c:v>
                </c:pt>
                <c:pt idx="8" formatCode="0.0%">
                  <c:v>4.8000000000000265E-3</c:v>
                </c:pt>
                <c:pt idx="9" formatCode="0.0%">
                  <c:v>5.7599999999999874E-3</c:v>
                </c:pt>
                <c:pt idx="10" formatCode="0.0%">
                  <c:v>6.7199999999999482E-3</c:v>
                </c:pt>
                <c:pt idx="11" formatCode="0.0%">
                  <c:v>7.6800000000000201E-3</c:v>
                </c:pt>
                <c:pt idx="12" formatCode="0.0%">
                  <c:v>8.639999999999981E-3</c:v>
                </c:pt>
                <c:pt idx="13" formatCode="0.0%">
                  <c:v>9.6000000000000529E-3</c:v>
                </c:pt>
                <c:pt idx="14" formatCode="0.0%">
                  <c:v>1.0560000000000014E-2</c:v>
                </c:pt>
                <c:pt idx="15" formatCode="0.0%">
                  <c:v>1.1519999999999975E-2</c:v>
                </c:pt>
                <c:pt idx="16" formatCode="0.0%">
                  <c:v>1.2480000000000047E-2</c:v>
                </c:pt>
                <c:pt idx="17" formatCode="0.0%">
                  <c:v>1.3440000000000007E-2</c:v>
                </c:pt>
                <c:pt idx="18" formatCode="0.0%">
                  <c:v>1.4399999999999968E-2</c:v>
                </c:pt>
                <c:pt idx="19" formatCode="0.0%">
                  <c:v>1.536000000000004E-2</c:v>
                </c:pt>
                <c:pt idx="20" formatCode="0.0%">
                  <c:v>1.6320000000000001E-2</c:v>
                </c:pt>
                <c:pt idx="21" formatCode="0.0%">
                  <c:v>1.7279999999999962E-2</c:v>
                </c:pt>
                <c:pt idx="22" formatCode="0.0%">
                  <c:v>1.8240000000000034E-2</c:v>
                </c:pt>
                <c:pt idx="23" formatCode="0.0%">
                  <c:v>1.9199999999999995E-2</c:v>
                </c:pt>
                <c:pt idx="24" formatCode="0.0%">
                  <c:v>2.0159999999999956E-2</c:v>
                </c:pt>
                <c:pt idx="25" formatCode="0.0%">
                  <c:v>2.1120000000000028E-2</c:v>
                </c:pt>
                <c:pt idx="26" formatCode="0.0%">
                  <c:v>2.2079999999999989E-2</c:v>
                </c:pt>
                <c:pt idx="27" formatCode="0.0%">
                  <c:v>2.3039999999999949E-2</c:v>
                </c:pt>
                <c:pt idx="28" formatCode="0.0%">
                  <c:v>2.4000000000000021E-2</c:v>
                </c:pt>
                <c:pt idx="29" formatCode="0.0%">
                  <c:v>2.4959999999999982E-2</c:v>
                </c:pt>
                <c:pt idx="30" formatCode="0.0%">
                  <c:v>2.5919999999999943E-2</c:v>
                </c:pt>
                <c:pt idx="31" formatCode="0.0%">
                  <c:v>2.6880000000000015E-2</c:v>
                </c:pt>
                <c:pt idx="32" formatCode="0.0%">
                  <c:v>2.7839999999999976E-2</c:v>
                </c:pt>
                <c:pt idx="33" formatCode="0.0%">
                  <c:v>2.8799999999999937E-2</c:v>
                </c:pt>
              </c:numCache>
            </c:numRef>
          </c:val>
          <c:extLst>
            <c:ext xmlns:c16="http://schemas.microsoft.com/office/drawing/2014/chart" uri="{C3380CC4-5D6E-409C-BE32-E72D297353CC}">
              <c16:uniqueId val="{0000001E-3119-4DD8-BDAA-21587AF2C9C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02-3119-4DD8-BDAA-21587AF2C9CD}"/>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F-3119-4DD8-BDAA-21587AF2C9CD}"/>
              </c:ext>
            </c:extLst>
          </c:dPt>
          <c:dLbls>
            <c:dLbl>
              <c:idx val="3"/>
              <c:layout>
                <c:manualLayout>
                  <c:x val="-3.8336574324970514E-2"/>
                  <c:y val="0.33127695994522421"/>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136446810545443"/>
                      <c:h val="2.9978363574118455E-2"/>
                    </c:manualLayout>
                  </c15:layout>
                </c:ext>
                <c:ext xmlns:c16="http://schemas.microsoft.com/office/drawing/2014/chart" uri="{C3380CC4-5D6E-409C-BE32-E72D297353CC}">
                  <c16:uniqueId val="{0000001F-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0B-3119-4DD8-BDAA-21587AF2C9C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8-3119-4DD8-BDAA-21587AF2C9C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cap="none" spc="20" baseline="0">
                <a:solidFill>
                  <a:schemeClr val="dk1">
                    <a:lumMod val="50000"/>
                    <a:lumOff val="50000"/>
                  </a:schemeClr>
                </a:solidFill>
                <a:latin typeface="+mn-lt"/>
                <a:ea typeface="+mn-ea"/>
                <a:cs typeface="+mn-cs"/>
              </a:defRPr>
            </a:pPr>
            <a:r>
              <a:rPr lang="en-GB"/>
              <a:t>Cumulative carbon emissions</a:t>
            </a:r>
          </a:p>
        </c:rich>
      </c:tx>
      <c:overlay val="0"/>
      <c:spPr>
        <a:noFill/>
        <a:ln>
          <a:noFill/>
        </a:ln>
        <a:effectLst/>
      </c:spPr>
      <c:txPr>
        <a:bodyPr rot="0" spcFirstLastPara="1" vertOverflow="ellipsis" vert="horz" wrap="square" anchor="ctr" anchorCtr="1"/>
        <a:lstStyle/>
        <a:p>
          <a:pPr>
            <a:defRPr sz="192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tx>
            <c:strRef>
              <c:f>'Main calculations'!$JA$7</c:f>
              <c:strCache>
                <c:ptCount val="1"/>
                <c:pt idx="0">
                  <c:v>Cumulative emissions estimated for selected policy mix </c:v>
                </c:pt>
              </c:strCache>
            </c:strRef>
          </c:tx>
          <c:spPr>
            <a:ln w="31750" cap="rnd" cmpd="sng" algn="ctr">
              <a:solidFill>
                <a:schemeClr val="accent1"/>
              </a:solidFill>
              <a:round/>
            </a:ln>
            <a:effectLst/>
          </c:spPr>
          <c:marker>
            <c:symbol val="none"/>
          </c:marker>
          <c:cat>
            <c:numRef>
              <c:f>'Main calculations'!$IY$10:$IY$40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'Main calculations'!$JA$10:$JA$40</c:f>
              <c:numCache>
                <c:formatCode>0.0</c:formatCode>
                <c:ptCount val="31"/>
                <c:pt idx="0">
                  <c:v>1</c:v>
                </c:pt>
                <c:pt idx="1">
                  <c:v>1.983209907120743</c:v>
                </c:pt>
                <c:pt idx="2">
                  <c:v>2.9496297213622289</c:v>
                </c:pt>
                <c:pt idx="3">
                  <c:v>3.8950366961350862</c:v>
                </c:pt>
                <c:pt idx="4">
                  <c:v>4.8190506239885131</c:v>
                </c:pt>
                <c:pt idx="5">
                  <c:v>5.7203803662976211</c:v>
                </c:pt>
                <c:pt idx="6">
                  <c:v>6.5986457156116076</c:v>
                </c:pt>
                <c:pt idx="7">
                  <c:v>7.4534664644796731</c:v>
                </c:pt>
                <c:pt idx="8">
                  <c:v>8.2844624054510145</c:v>
                </c:pt>
                <c:pt idx="9">
                  <c:v>9.0912533310748351</c:v>
                </c:pt>
                <c:pt idx="10">
                  <c:v>9.870075575253713</c:v>
                </c:pt>
                <c:pt idx="11">
                  <c:v>10.620548930536847</c:v>
                </c:pt>
                <c:pt idx="12">
                  <c:v>11.342293189473441</c:v>
                </c:pt>
                <c:pt idx="13">
                  <c:v>12.034928144612691</c:v>
                </c:pt>
                <c:pt idx="14">
                  <c:v>12.698073588503794</c:v>
                </c:pt>
                <c:pt idx="15">
                  <c:v>13.331349313695954</c:v>
                </c:pt>
                <c:pt idx="16">
                  <c:v>13.934375112738367</c:v>
                </c:pt>
                <c:pt idx="17">
                  <c:v>14.506770778180233</c:v>
                </c:pt>
                <c:pt idx="18">
                  <c:v>15.053409353344744</c:v>
                </c:pt>
                <c:pt idx="19">
                  <c:v>15.573910630781098</c:v>
                </c:pt>
                <c:pt idx="20">
                  <c:v>16.067894403038498</c:v>
                </c:pt>
                <c:pt idx="21">
                  <c:v>16.534980462666141</c:v>
                </c:pt>
                <c:pt idx="22">
                  <c:v>16.974788602213223</c:v>
                </c:pt>
                <c:pt idx="23">
                  <c:v>17.386938614228949</c:v>
                </c:pt>
                <c:pt idx="24">
                  <c:v>17.771050291262515</c:v>
                </c:pt>
                <c:pt idx="25">
                  <c:v>18.126743425863118</c:v>
                </c:pt>
                <c:pt idx="26">
                  <c:v>18.453637810579959</c:v>
                </c:pt>
                <c:pt idx="27">
                  <c:v>18.751353237962242</c:v>
                </c:pt>
                <c:pt idx="28">
                  <c:v>19.019509500559156</c:v>
                </c:pt>
                <c:pt idx="29">
                  <c:v>19.257726390919906</c:v>
                </c:pt>
              </c:numCache>
            </c:numRef>
          </c:val>
          <c:smooth val="0"/>
          <c:extLst>
            <c:ext xmlns:c16="http://schemas.microsoft.com/office/drawing/2014/chart" uri="{C3380CC4-5D6E-409C-BE32-E72D297353CC}">
              <c16:uniqueId val="{00000000-E46D-4489-A0EA-8AF18208BDF1}"/>
            </c:ext>
          </c:extLst>
        </c:ser>
        <c:ser>
          <c:idx val="1"/>
          <c:order val="1"/>
          <c:tx>
            <c:strRef>
              <c:f>'Main calculations'!$JC$7</c:f>
              <c:strCache>
                <c:ptCount val="1"/>
                <c:pt idx="0">
                  <c:v>Cumulative emissions based on 2020 levels with no improvement (do nothing scenario)</c:v>
                </c:pt>
              </c:strCache>
            </c:strRef>
          </c:tx>
          <c:spPr>
            <a:ln w="22225" cap="rnd" cmpd="sng" algn="ctr">
              <a:solidFill>
                <a:schemeClr val="accent2"/>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E46D-4489-A0EA-8AF18208BDF1}"/>
                </c:ext>
              </c:extLst>
            </c:dLbl>
            <c:dLbl>
              <c:idx val="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6D-4489-A0EA-8AF18208BDF1}"/>
                </c:ext>
              </c:extLst>
            </c:dLbl>
            <c:dLbl>
              <c:idx val="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6D-4489-A0EA-8AF18208BDF1}"/>
                </c:ext>
              </c:extLst>
            </c:dLbl>
            <c:dLbl>
              <c:idx val="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6D-4489-A0EA-8AF18208BDF1}"/>
                </c:ext>
              </c:extLst>
            </c:dLbl>
            <c:dLbl>
              <c:idx val="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6D-4489-A0EA-8AF18208BDF1}"/>
                </c:ext>
              </c:extLst>
            </c:dLbl>
            <c:dLbl>
              <c:idx val="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6D-4489-A0EA-8AF18208BDF1}"/>
                </c:ext>
              </c:extLst>
            </c:dLbl>
            <c:dLbl>
              <c:idx val="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6D-4489-A0EA-8AF18208BDF1}"/>
                </c:ext>
              </c:extLst>
            </c:dLbl>
            <c:dLbl>
              <c:idx val="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6D-4489-A0EA-8AF18208BDF1}"/>
                </c:ext>
              </c:extLst>
            </c:dLbl>
            <c:dLbl>
              <c:idx val="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6D-4489-A0EA-8AF18208BDF1}"/>
                </c:ext>
              </c:extLst>
            </c:dLbl>
            <c:dLbl>
              <c:idx val="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6D-4489-A0EA-8AF18208BDF1}"/>
                </c:ext>
              </c:extLst>
            </c:dLbl>
            <c:dLbl>
              <c:idx val="1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6D-4489-A0EA-8AF18208BDF1}"/>
                </c:ext>
              </c:extLst>
            </c:dLbl>
            <c:dLbl>
              <c:idx val="1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6D-4489-A0EA-8AF18208BDF1}"/>
                </c:ext>
              </c:extLst>
            </c:dLbl>
            <c:dLbl>
              <c:idx val="1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6D-4489-A0EA-8AF18208BDF1}"/>
                </c:ext>
              </c:extLst>
            </c:dLbl>
            <c:dLbl>
              <c:idx val="1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6D-4489-A0EA-8AF18208BDF1}"/>
                </c:ext>
              </c:extLst>
            </c:dLbl>
            <c:dLbl>
              <c:idx val="1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6D-4489-A0EA-8AF18208BDF1}"/>
                </c:ext>
              </c:extLst>
            </c:dLbl>
            <c:dLbl>
              <c:idx val="1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46D-4489-A0EA-8AF18208BDF1}"/>
                </c:ext>
              </c:extLst>
            </c:dLbl>
            <c:dLbl>
              <c:idx val="1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46D-4489-A0EA-8AF18208BDF1}"/>
                </c:ext>
              </c:extLst>
            </c:dLbl>
            <c:dLbl>
              <c:idx val="1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46D-4489-A0EA-8AF18208BDF1}"/>
                </c:ext>
              </c:extLst>
            </c:dLbl>
            <c:dLbl>
              <c:idx val="1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46D-4489-A0EA-8AF18208BDF1}"/>
                </c:ext>
              </c:extLst>
            </c:dLbl>
            <c:dLbl>
              <c:idx val="1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46D-4489-A0EA-8AF18208BDF1}"/>
                </c:ext>
              </c:extLst>
            </c:dLbl>
            <c:dLbl>
              <c:idx val="2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46D-4489-A0EA-8AF18208BDF1}"/>
                </c:ext>
              </c:extLst>
            </c:dLbl>
            <c:dLbl>
              <c:idx val="2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46D-4489-A0EA-8AF18208BDF1}"/>
                </c:ext>
              </c:extLst>
            </c:dLbl>
            <c:dLbl>
              <c:idx val="2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46D-4489-A0EA-8AF18208BDF1}"/>
                </c:ext>
              </c:extLst>
            </c:dLbl>
            <c:dLbl>
              <c:idx val="2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46D-4489-A0EA-8AF18208BDF1}"/>
                </c:ext>
              </c:extLst>
            </c:dLbl>
            <c:dLbl>
              <c:idx val="2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46D-4489-A0EA-8AF18208BDF1}"/>
                </c:ext>
              </c:extLst>
            </c:dLbl>
            <c:dLbl>
              <c:idx val="2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46D-4489-A0EA-8AF18208BDF1}"/>
                </c:ext>
              </c:extLst>
            </c:dLbl>
            <c:dLbl>
              <c:idx val="2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46D-4489-A0EA-8AF18208BDF1}"/>
                </c:ext>
              </c:extLst>
            </c:dLbl>
            <c:dLbl>
              <c:idx val="2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46D-4489-A0EA-8AF18208BDF1}"/>
                </c:ext>
              </c:extLst>
            </c:dLbl>
            <c:dLbl>
              <c:idx val="2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46D-4489-A0EA-8AF18208BDF1}"/>
                </c:ext>
              </c:extLst>
            </c:dLbl>
            <c:dLbl>
              <c:idx val="2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46D-4489-A0EA-8AF18208BDF1}"/>
                </c:ext>
              </c:extLst>
            </c:dLbl>
            <c:dLbl>
              <c:idx val="3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46D-4489-A0EA-8AF18208BDF1}"/>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dk1">
                          <a:lumMod val="35000"/>
                          <a:lumOff val="65000"/>
                        </a:schemeClr>
                      </a:solidFill>
                    </a:ln>
                    <a:effectLst/>
                  </c:spPr>
                </c15:leaderLines>
              </c:ext>
            </c:extLst>
          </c:dLbls>
          <c:cat>
            <c:numRef>
              <c:f>'Main calculations'!$IY$10:$IY$40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'Main calculations'!$JC$10:$JC$40</c:f>
              <c:numCache>
                <c:formatCode>0.0</c:formatCode>
                <c:ptCount val="31"/>
                <c:pt idx="0">
                  <c:v>1</c:v>
                </c:pt>
                <c:pt idx="1">
                  <c:v>2.0035087719298246</c:v>
                </c:pt>
                <c:pt idx="2">
                  <c:v>3.0105263157894737</c:v>
                </c:pt>
                <c:pt idx="3">
                  <c:v>4.0210526315789474</c:v>
                </c:pt>
                <c:pt idx="4">
                  <c:v>5.0350877192982457</c:v>
                </c:pt>
                <c:pt idx="5">
                  <c:v>6.052631578947369</c:v>
                </c:pt>
                <c:pt idx="6">
                  <c:v>7.0736842105263156</c:v>
                </c:pt>
                <c:pt idx="7">
                  <c:v>8.098245614035088</c:v>
                </c:pt>
                <c:pt idx="8">
                  <c:v>9.1263157894736846</c:v>
                </c:pt>
                <c:pt idx="9">
                  <c:v>10.157894736842106</c:v>
                </c:pt>
                <c:pt idx="10">
                  <c:v>11.192982456140351</c:v>
                </c:pt>
                <c:pt idx="11">
                  <c:v>12.231578947368421</c:v>
                </c:pt>
                <c:pt idx="12">
                  <c:v>13.273684210526316</c:v>
                </c:pt>
                <c:pt idx="13">
                  <c:v>14.319298245614036</c:v>
                </c:pt>
                <c:pt idx="14">
                  <c:v>15.368421052631579</c:v>
                </c:pt>
                <c:pt idx="15">
                  <c:v>16.421052631578949</c:v>
                </c:pt>
                <c:pt idx="16">
                  <c:v>17.477192982456138</c:v>
                </c:pt>
                <c:pt idx="17">
                  <c:v>18.536842105263158</c:v>
                </c:pt>
                <c:pt idx="18">
                  <c:v>19.600000000000001</c:v>
                </c:pt>
                <c:pt idx="19">
                  <c:v>20.666666666666668</c:v>
                </c:pt>
                <c:pt idx="20">
                  <c:v>21.736842105263158</c:v>
                </c:pt>
                <c:pt idx="21">
                  <c:v>22.810526315789474</c:v>
                </c:pt>
                <c:pt idx="22">
                  <c:v>23.887719298245614</c:v>
                </c:pt>
                <c:pt idx="23">
                  <c:v>24.96842105263158</c:v>
                </c:pt>
                <c:pt idx="24">
                  <c:v>26.05263157894737</c:v>
                </c:pt>
                <c:pt idx="25">
                  <c:v>27.140350877192983</c:v>
                </c:pt>
                <c:pt idx="26">
                  <c:v>28.231578947368419</c:v>
                </c:pt>
                <c:pt idx="27">
                  <c:v>29.326315789473682</c:v>
                </c:pt>
                <c:pt idx="28">
                  <c:v>30.424561403508768</c:v>
                </c:pt>
                <c:pt idx="29">
                  <c:v>31.526315789473681</c:v>
                </c:pt>
              </c:numCache>
            </c:numRef>
          </c:val>
          <c:smooth val="0"/>
          <c:extLst>
            <c:ext xmlns:c16="http://schemas.microsoft.com/office/drawing/2014/chart" uri="{C3380CC4-5D6E-409C-BE32-E72D297353CC}">
              <c16:uniqueId val="{00000001-E46D-4489-A0EA-8AF18208BDF1}"/>
            </c:ext>
          </c:extLst>
        </c:ser>
        <c:ser>
          <c:idx val="2"/>
          <c:order val="2"/>
          <c:tx>
            <c:strRef>
              <c:f>'Main calculations'!$JD$7</c:f>
              <c:strCache>
                <c:ptCount val="1"/>
                <c:pt idx="0">
                  <c:v>Cumulative emissions target to remain within 1.5 degrees celcius temperature rise</c:v>
                </c:pt>
              </c:strCache>
            </c:strRef>
          </c:tx>
          <c:spPr>
            <a:ln w="28575" cap="rnd" cmpd="sng" algn="ctr">
              <a:solidFill>
                <a:schemeClr val="accent6"/>
              </a:solidFill>
              <a:prstDash val="dash"/>
              <a:round/>
            </a:ln>
            <a:effectLst/>
          </c:spPr>
          <c:marker>
            <c:symbol val="none"/>
          </c:marker>
          <c:val>
            <c:numRef>
              <c:f>'Main calculations'!$JE$10:$JE$40</c:f>
              <c:numCache>
                <c:formatCode>0.0</c:formatCode>
                <c:ptCount val="31"/>
                <c:pt idx="0">
                  <c:v>1</c:v>
                </c:pt>
                <c:pt idx="1">
                  <c:v>1.9701754385964911</c:v>
                </c:pt>
                <c:pt idx="2">
                  <c:v>2.9104216682056014</c:v>
                </c:pt>
                <c:pt idx="3">
                  <c:v>3.8206340412434594</c:v>
                </c:pt>
                <c:pt idx="4">
                  <c:v>4.7007079101261926</c:v>
                </c:pt>
                <c:pt idx="5">
                  <c:v>5.5505386272699289</c:v>
                </c:pt>
                <c:pt idx="6">
                  <c:v>6.3700215450907969</c:v>
                </c:pt>
                <c:pt idx="7">
                  <c:v>7.1590520160049245</c:v>
                </c:pt>
                <c:pt idx="8">
                  <c:v>7.9175253924284394</c:v>
                </c:pt>
                <c:pt idx="9">
                  <c:v>8.6453370267774687</c:v>
                </c:pt>
                <c:pt idx="10">
                  <c:v>9.3423822714681428</c:v>
                </c:pt>
                <c:pt idx="11">
                  <c:v>10.008556478916589</c:v>
                </c:pt>
                <c:pt idx="12">
                  <c:v>10.643755001538935</c:v>
                </c:pt>
                <c:pt idx="13">
                  <c:v>11.247873191751308</c:v>
                </c:pt>
                <c:pt idx="14">
                  <c:v>11.820806401969838</c:v>
                </c:pt>
                <c:pt idx="15">
                  <c:v>12.362449984610651</c:v>
                </c:pt>
                <c:pt idx="16">
                  <c:v>12.872699292089875</c:v>
                </c:pt>
                <c:pt idx="17">
                  <c:v>13.351449676823638</c:v>
                </c:pt>
                <c:pt idx="18">
                  <c:v>13.79859649122807</c:v>
                </c:pt>
                <c:pt idx="19">
                  <c:v>14.214035087719298</c:v>
                </c:pt>
                <c:pt idx="20">
                  <c:v>14.59766081871345</c:v>
                </c:pt>
                <c:pt idx="21">
                  <c:v>14.949369036626653</c:v>
                </c:pt>
                <c:pt idx="22">
                  <c:v>15.269055093875037</c:v>
                </c:pt>
                <c:pt idx="23">
                  <c:v>15.556614342874731</c:v>
                </c:pt>
                <c:pt idx="24">
                  <c:v>15.811942136041859</c:v>
                </c:pt>
                <c:pt idx="25">
                  <c:v>16.03493382579255</c:v>
                </c:pt>
                <c:pt idx="26">
                  <c:v>16.225484764542937</c:v>
                </c:pt>
                <c:pt idx="27">
                  <c:v>16.383490304709142</c:v>
                </c:pt>
                <c:pt idx="28">
                  <c:v>16.508845798707295</c:v>
                </c:pt>
                <c:pt idx="29">
                  <c:v>16.601446598953526</c:v>
                </c:pt>
              </c:numCache>
            </c:numRef>
          </c:val>
          <c:smooth val="0"/>
          <c:extLst>
            <c:ext xmlns:c16="http://schemas.microsoft.com/office/drawing/2014/chart" uri="{C3380CC4-5D6E-409C-BE32-E72D297353CC}">
              <c16:uniqueId val="{00000008-E46D-4489-A0EA-8AF18208BDF1}"/>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22927664"/>
        <c:axId val="622923728"/>
      </c:lineChart>
      <c:catAx>
        <c:axId val="622927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3728"/>
        <c:crosses val="autoZero"/>
        <c:auto val="1"/>
        <c:lblAlgn val="ctr"/>
        <c:lblOffset val="100"/>
        <c:noMultiLvlLbl val="0"/>
      </c:catAx>
      <c:valAx>
        <c:axId val="622923728"/>
        <c:scaling>
          <c:orientation val="minMax"/>
        </c:scaling>
        <c:delete val="0"/>
        <c:axPos val="l"/>
        <c:title>
          <c:tx>
            <c:rich>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r>
                  <a:rPr lang="en-US"/>
                  <a:t>Cumulative carbon emissions: Index 1=2020 </a:t>
                </a:r>
              </a:p>
            </c:rich>
          </c:tx>
          <c:overlay val="0"/>
          <c:spPr>
            <a:noFill/>
            <a:ln>
              <a:noFill/>
            </a:ln>
            <a:effectLst/>
          </c:spPr>
          <c:txPr>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766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calculations'!$FA$122</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calculations'!$FA$123:$FA$156</c:f>
              <c:numCache>
                <c:formatCode>0.00%</c:formatCode>
                <c:ptCount val="34"/>
                <c:pt idx="0">
                  <c:v>1</c:v>
                </c:pt>
                <c:pt idx="1">
                  <c:v>0.98333333333333328</c:v>
                </c:pt>
                <c:pt idx="2">
                  <c:v>0.96666666666666656</c:v>
                </c:pt>
                <c:pt idx="3">
                  <c:v>0.95</c:v>
                </c:pt>
                <c:pt idx="4">
                  <c:v>0.93404941176470579</c:v>
                </c:pt>
                <c:pt idx="5">
                  <c:v>0.91809882352941174</c:v>
                </c:pt>
                <c:pt idx="6">
                  <c:v>0.89813662603421418</c:v>
                </c:pt>
                <c:pt idx="7">
                  <c:v>0.87781323146075596</c:v>
                </c:pt>
                <c:pt idx="8">
                  <c:v>0.85626325519365198</c:v>
                </c:pt>
                <c:pt idx="9">
                  <c:v>0.83435208184828735</c:v>
                </c:pt>
                <c:pt idx="10">
                  <c:v>0.81207971142466173</c:v>
                </c:pt>
                <c:pt idx="11">
                  <c:v>0.78944614392277512</c:v>
                </c:pt>
                <c:pt idx="12">
                  <c:v>0.76645137934262797</c:v>
                </c:pt>
                <c:pt idx="13">
                  <c:v>0.73988113196993388</c:v>
                </c:pt>
                <c:pt idx="14">
                  <c:v>0.71294968751897925</c:v>
                </c:pt>
                <c:pt idx="15">
                  <c:v>0.68565704598976362</c:v>
                </c:pt>
                <c:pt idx="16">
                  <c:v>0.6580032073822869</c:v>
                </c:pt>
                <c:pt idx="17">
                  <c:v>0.62998817169654964</c:v>
                </c:pt>
                <c:pt idx="18">
                  <c:v>0.60161193893255149</c:v>
                </c:pt>
                <c:pt idx="19">
                  <c:v>0.57287450909029214</c:v>
                </c:pt>
                <c:pt idx="20">
                  <c:v>0.54377588216977224</c:v>
                </c:pt>
                <c:pt idx="21">
                  <c:v>0.51930664640628543</c:v>
                </c:pt>
                <c:pt idx="22">
                  <c:v>0.49447621356453775</c:v>
                </c:pt>
                <c:pt idx="23">
                  <c:v>0.4692845836445293</c:v>
                </c:pt>
                <c:pt idx="24">
                  <c:v>0.44373175664625986</c:v>
                </c:pt>
                <c:pt idx="25">
                  <c:v>0.41781773256972943</c:v>
                </c:pt>
                <c:pt idx="26">
                  <c:v>0.39154251141493857</c:v>
                </c:pt>
                <c:pt idx="27">
                  <c:v>0.3649060931818866</c:v>
                </c:pt>
                <c:pt idx="28">
                  <c:v>0.33790847787057354</c:v>
                </c:pt>
                <c:pt idx="29">
                  <c:v>0.31054966548099994</c:v>
                </c:pt>
                <c:pt idx="30">
                  <c:v>0.28282965601316545</c:v>
                </c:pt>
                <c:pt idx="31">
                  <c:v>0.25474844946706987</c:v>
                </c:pt>
                <c:pt idx="32">
                  <c:v>0.22630604584271341</c:v>
                </c:pt>
                <c:pt idx="33">
                  <c:v>0.19750244514009641</c:v>
                </c:pt>
              </c:numCache>
            </c:numRef>
          </c:val>
          <c:extLst>
            <c:ext xmlns:c16="http://schemas.microsoft.com/office/drawing/2014/chart" uri="{C3380CC4-5D6E-409C-BE32-E72D297353CC}">
              <c16:uniqueId val="{00000001-7133-4704-80D8-1E00FFB5C364}"/>
            </c:ext>
          </c:extLst>
        </c:ser>
        <c:ser>
          <c:idx val="11"/>
          <c:order val="1"/>
          <c:tx>
            <c:strRef>
              <c:f>'Main calculations'!$FC$122</c:f>
              <c:strCache>
                <c:ptCount val="1"/>
                <c:pt idx="0">
                  <c:v>80% BEV</c:v>
                </c:pt>
              </c:strCache>
            </c:strRef>
          </c:tx>
          <c:spPr>
            <a:solidFill>
              <a:schemeClr val="accent4">
                <a:lumMod val="60000"/>
                <a:lumOff val="40000"/>
              </a:schemeClr>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calculations'!$FC$123:$FC$156</c:f>
              <c:numCache>
                <c:formatCode>0.00%</c:formatCode>
                <c:ptCount val="34"/>
                <c:pt idx="0">
                  <c:v>0</c:v>
                </c:pt>
                <c:pt idx="1">
                  <c:v>0</c:v>
                </c:pt>
                <c:pt idx="2">
                  <c:v>0</c:v>
                </c:pt>
                <c:pt idx="3">
                  <c:v>0</c:v>
                </c:pt>
                <c:pt idx="4">
                  <c:v>0</c:v>
                </c:pt>
                <c:pt idx="5">
                  <c:v>0</c:v>
                </c:pt>
                <c:pt idx="6">
                  <c:v>6.2080537043478273E-3</c:v>
                </c:pt>
                <c:pt idx="7">
                  <c:v>1.2777304486956523E-2</c:v>
                </c:pt>
                <c:pt idx="8">
                  <c:v>1.9707752347826089E-2</c:v>
                </c:pt>
                <c:pt idx="9">
                  <c:v>2.6999397286956529E-2</c:v>
                </c:pt>
                <c:pt idx="10">
                  <c:v>3.4652239304347833E-2</c:v>
                </c:pt>
                <c:pt idx="11">
                  <c:v>4.2666278400000007E-2</c:v>
                </c:pt>
                <c:pt idx="12">
                  <c:v>5.1041514573913045E-2</c:v>
                </c:pt>
                <c:pt idx="13">
                  <c:v>5.9777947826086968E-2</c:v>
                </c:pt>
                <c:pt idx="14">
                  <c:v>6.8875578156521747E-2</c:v>
                </c:pt>
                <c:pt idx="15">
                  <c:v>7.8334405565217397E-2</c:v>
                </c:pt>
                <c:pt idx="16">
                  <c:v>8.8154430052173924E-2</c:v>
                </c:pt>
                <c:pt idx="17">
                  <c:v>9.8335651617391329E-2</c:v>
                </c:pt>
                <c:pt idx="18">
                  <c:v>0.10887807026086958</c:v>
                </c:pt>
                <c:pt idx="19">
                  <c:v>0.11978168598260873</c:v>
                </c:pt>
                <c:pt idx="20">
                  <c:v>0.13104649878260871</c:v>
                </c:pt>
                <c:pt idx="21">
                  <c:v>0.14267250866086961</c:v>
                </c:pt>
                <c:pt idx="22">
                  <c:v>0.15465971561739134</c:v>
                </c:pt>
                <c:pt idx="23">
                  <c:v>0.16700811965217396</c:v>
                </c:pt>
                <c:pt idx="24">
                  <c:v>0.17971772076521747</c:v>
                </c:pt>
                <c:pt idx="25">
                  <c:v>0.1927885189565218</c:v>
                </c:pt>
                <c:pt idx="26">
                  <c:v>0.20622051422608706</c:v>
                </c:pt>
                <c:pt idx="27">
                  <c:v>0.22001370657391314</c:v>
                </c:pt>
                <c:pt idx="28">
                  <c:v>0.2341680960000001</c:v>
                </c:pt>
                <c:pt idx="29">
                  <c:v>0.24868368250434791</c:v>
                </c:pt>
                <c:pt idx="30">
                  <c:v>0.2635604660869566</c:v>
                </c:pt>
                <c:pt idx="31">
                  <c:v>0.27879844674782617</c:v>
                </c:pt>
                <c:pt idx="32">
                  <c:v>0.29439762448695667</c:v>
                </c:pt>
                <c:pt idx="33">
                  <c:v>0.31035799930434793</c:v>
                </c:pt>
              </c:numCache>
            </c:numRef>
          </c:val>
          <c:extLst>
            <c:ext xmlns:c16="http://schemas.microsoft.com/office/drawing/2014/chart" uri="{C3380CC4-5D6E-409C-BE32-E72D297353CC}">
              <c16:uniqueId val="{00000003-7133-4704-80D8-1E00FFB5C364}"/>
            </c:ext>
          </c:extLst>
        </c:ser>
        <c:ser>
          <c:idx val="4"/>
          <c:order val="2"/>
          <c:tx>
            <c:strRef>
              <c:f>'Main calculations'!$FD$122</c:f>
              <c:strCache>
                <c:ptCount val="1"/>
                <c:pt idx="0">
                  <c:v>ICE fuel efficiency@80%BEV</c:v>
                </c:pt>
              </c:strCache>
            </c:strRef>
          </c:tx>
          <c:spPr>
            <a:solidFill>
              <a:schemeClr val="accent5">
                <a:lumMod val="60000"/>
                <a:lumOff val="40000"/>
              </a:schemeClr>
            </a:solidFill>
            <a:ln w="25400">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04-7133-4704-80D8-1E00FFB5C3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calculations'!$FD$123:$FD$156</c:f>
              <c:numCache>
                <c:formatCode>0.00%</c:formatCode>
                <c:ptCount val="34"/>
                <c:pt idx="0">
                  <c:v>0</c:v>
                </c:pt>
                <c:pt idx="1">
                  <c:v>0</c:v>
                </c:pt>
                <c:pt idx="2">
                  <c:v>0</c:v>
                </c:pt>
                <c:pt idx="3">
                  <c:v>0</c:v>
                </c:pt>
                <c:pt idx="4">
                  <c:v>4.9905882352941156E-3</c:v>
                </c:pt>
                <c:pt idx="5">
                  <c:v>9.9811764705882312E-3</c:v>
                </c:pt>
                <c:pt idx="6">
                  <c:v>1.2525320261437906E-2</c:v>
                </c:pt>
                <c:pt idx="7">
                  <c:v>1.5069464052287573E-2</c:v>
                </c:pt>
                <c:pt idx="8">
                  <c:v>1.7613607843137244E-2</c:v>
                </c:pt>
                <c:pt idx="9">
                  <c:v>2.015775163398692E-2</c:v>
                </c:pt>
                <c:pt idx="10">
                  <c:v>2.2701895424836589E-2</c:v>
                </c:pt>
                <c:pt idx="11">
                  <c:v>2.5246039215686265E-2</c:v>
                </c:pt>
                <c:pt idx="12">
                  <c:v>2.7790183006535945E-2</c:v>
                </c:pt>
                <c:pt idx="13">
                  <c:v>3.0334326797385611E-2</c:v>
                </c:pt>
                <c:pt idx="14">
                  <c:v>3.2878470588235273E-2</c:v>
                </c:pt>
                <c:pt idx="15">
                  <c:v>3.5422614379084956E-2</c:v>
                </c:pt>
                <c:pt idx="16">
                  <c:v>3.7966758169934618E-2</c:v>
                </c:pt>
                <c:pt idx="17">
                  <c:v>4.0510901960784287E-2</c:v>
                </c:pt>
                <c:pt idx="18">
                  <c:v>4.3055045751633977E-2</c:v>
                </c:pt>
                <c:pt idx="19">
                  <c:v>4.5599189542483681E-2</c:v>
                </c:pt>
                <c:pt idx="20">
                  <c:v>4.814333333333333E-2</c:v>
                </c:pt>
                <c:pt idx="21">
                  <c:v>4.5696888888888884E-2</c:v>
                </c:pt>
                <c:pt idx="22">
                  <c:v>4.3250444444444439E-2</c:v>
                </c:pt>
                <c:pt idx="23">
                  <c:v>4.0804000000000021E-2</c:v>
                </c:pt>
                <c:pt idx="24">
                  <c:v>3.8357555555555554E-2</c:v>
                </c:pt>
                <c:pt idx="25">
                  <c:v>3.5911111111111116E-2</c:v>
                </c:pt>
                <c:pt idx="26">
                  <c:v>3.346466666666667E-2</c:v>
                </c:pt>
                <c:pt idx="27">
                  <c:v>3.1018222222222249E-2</c:v>
                </c:pt>
                <c:pt idx="28">
                  <c:v>2.8571777777777814E-2</c:v>
                </c:pt>
                <c:pt idx="29">
                  <c:v>2.6125333333333351E-2</c:v>
                </c:pt>
                <c:pt idx="30">
                  <c:v>2.367888888888893E-2</c:v>
                </c:pt>
                <c:pt idx="31">
                  <c:v>2.1232444444444481E-2</c:v>
                </c:pt>
                <c:pt idx="32">
                  <c:v>1.8786000000000046E-2</c:v>
                </c:pt>
                <c:pt idx="33">
                  <c:v>1.6339555555555583E-2</c:v>
                </c:pt>
              </c:numCache>
            </c:numRef>
          </c:val>
          <c:extLst>
            <c:ext xmlns:c16="http://schemas.microsoft.com/office/drawing/2014/chart" uri="{C3380CC4-5D6E-409C-BE32-E72D297353CC}">
              <c16:uniqueId val="{00000005-7133-4704-80D8-1E00FFB5C364}"/>
            </c:ext>
          </c:extLst>
        </c:ser>
        <c:ser>
          <c:idx val="0"/>
          <c:order val="3"/>
          <c:tx>
            <c:strRef>
              <c:f>'Main calculations'!$FE$6</c:f>
              <c:strCache>
                <c:ptCount val="1"/>
                <c:pt idx="0">
                  <c:v>Trips &gt; 8km (car to PT/carpool)</c:v>
                </c:pt>
              </c:strCache>
            </c:strRef>
          </c:tx>
          <c:spPr>
            <a:solidFill>
              <a:schemeClr val="accent6">
                <a:lumMod val="75000"/>
              </a:schemeClr>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calculations'!$FE$123:$FE$156</c:f>
              <c:numCache>
                <c:formatCode>0.00%</c:formatCode>
                <c:ptCount val="34"/>
                <c:pt idx="0">
                  <c:v>0</c:v>
                </c:pt>
                <c:pt idx="1">
                  <c:v>0</c:v>
                </c:pt>
                <c:pt idx="2">
                  <c:v>0</c:v>
                </c:pt>
                <c:pt idx="3">
                  <c:v>0</c:v>
                </c:pt>
                <c:pt idx="4">
                  <c:v>8.1751824817518637E-3</c:v>
                </c:pt>
                <c:pt idx="5">
                  <c:v>1.6350364963503616E-2</c:v>
                </c:pt>
                <c:pt idx="6">
                  <c:v>2.452554744525548E-2</c:v>
                </c:pt>
                <c:pt idx="7">
                  <c:v>3.2700729927007344E-2</c:v>
                </c:pt>
                <c:pt idx="8">
                  <c:v>4.0875912408759096E-2</c:v>
                </c:pt>
                <c:pt idx="9">
                  <c:v>4.905109489051096E-2</c:v>
                </c:pt>
                <c:pt idx="10">
                  <c:v>5.7226277372262824E-2</c:v>
                </c:pt>
                <c:pt idx="11">
                  <c:v>6.5401459854014576E-2</c:v>
                </c:pt>
                <c:pt idx="12">
                  <c:v>7.357664233576644E-2</c:v>
                </c:pt>
                <c:pt idx="13">
                  <c:v>8.1751824817518193E-2</c:v>
                </c:pt>
                <c:pt idx="14">
                  <c:v>8.9927007299270056E-2</c:v>
                </c:pt>
                <c:pt idx="15">
                  <c:v>9.810218978102192E-2</c:v>
                </c:pt>
                <c:pt idx="16">
                  <c:v>0.10627737226277367</c:v>
                </c:pt>
                <c:pt idx="17">
                  <c:v>0.11445255474452554</c:v>
                </c:pt>
                <c:pt idx="18">
                  <c:v>0.1226277372262774</c:v>
                </c:pt>
                <c:pt idx="19">
                  <c:v>0.13080291970802915</c:v>
                </c:pt>
                <c:pt idx="20">
                  <c:v>0.13897810218978102</c:v>
                </c:pt>
                <c:pt idx="21">
                  <c:v>0.14715328467153288</c:v>
                </c:pt>
                <c:pt idx="22">
                  <c:v>0.15532846715328463</c:v>
                </c:pt>
                <c:pt idx="23">
                  <c:v>0.1635036496350365</c:v>
                </c:pt>
                <c:pt idx="24">
                  <c:v>0.17167883211678836</c:v>
                </c:pt>
                <c:pt idx="25">
                  <c:v>0.17985401459854022</c:v>
                </c:pt>
                <c:pt idx="26">
                  <c:v>0.18802919708029198</c:v>
                </c:pt>
                <c:pt idx="27">
                  <c:v>0.19620437956204384</c:v>
                </c:pt>
                <c:pt idx="28">
                  <c:v>0.2043795620437957</c:v>
                </c:pt>
                <c:pt idx="29">
                  <c:v>0.21255474452554757</c:v>
                </c:pt>
                <c:pt idx="30">
                  <c:v>0.22072992700729938</c:v>
                </c:pt>
                <c:pt idx="31">
                  <c:v>0.22890510948905118</c:v>
                </c:pt>
                <c:pt idx="32">
                  <c:v>0.23708029197080305</c:v>
                </c:pt>
                <c:pt idx="33">
                  <c:v>0.24525547445255491</c:v>
                </c:pt>
              </c:numCache>
            </c:numRef>
          </c:val>
          <c:extLst>
            <c:ext xmlns:c16="http://schemas.microsoft.com/office/drawing/2014/chart" uri="{C3380CC4-5D6E-409C-BE32-E72D297353CC}">
              <c16:uniqueId val="{00000007-7133-4704-80D8-1E00FFB5C364}"/>
            </c:ext>
          </c:extLst>
        </c:ser>
        <c:ser>
          <c:idx val="12"/>
          <c:order val="4"/>
          <c:tx>
            <c:strRef>
              <c:f>'Main calculations'!$FF$6</c:f>
              <c:strCache>
                <c:ptCount val="1"/>
                <c:pt idx="0">
                  <c:v>Trips 3-8km (car to cycle/PT)</c:v>
                </c:pt>
              </c:strCache>
            </c:strRef>
          </c:tx>
          <c:spPr>
            <a:solidFill>
              <a:schemeClr val="accent6"/>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calculations'!$FF$123:$FF$156</c:f>
              <c:numCache>
                <c:formatCode>0.00%</c:formatCode>
                <c:ptCount val="34"/>
                <c:pt idx="0">
                  <c:v>0</c:v>
                </c:pt>
                <c:pt idx="1">
                  <c:v>0</c:v>
                </c:pt>
                <c:pt idx="2">
                  <c:v>0</c:v>
                </c:pt>
                <c:pt idx="3">
                  <c:v>0</c:v>
                </c:pt>
                <c:pt idx="4">
                  <c:v>3.4793187347932353E-3</c:v>
                </c:pt>
                <c:pt idx="5">
                  <c:v>6.9586374695863595E-3</c:v>
                </c:pt>
                <c:pt idx="6">
                  <c:v>1.0437956204379595E-2</c:v>
                </c:pt>
                <c:pt idx="7">
                  <c:v>1.3917274939172719E-2</c:v>
                </c:pt>
                <c:pt idx="8">
                  <c:v>1.7396593673965954E-2</c:v>
                </c:pt>
                <c:pt idx="9">
                  <c:v>2.0875912408759079E-2</c:v>
                </c:pt>
                <c:pt idx="10">
                  <c:v>2.4355231143552314E-2</c:v>
                </c:pt>
                <c:pt idx="11">
                  <c:v>2.7834549878345549E-2</c:v>
                </c:pt>
                <c:pt idx="12">
                  <c:v>3.1313868613138673E-2</c:v>
                </c:pt>
                <c:pt idx="13">
                  <c:v>3.4793187347931909E-2</c:v>
                </c:pt>
                <c:pt idx="14">
                  <c:v>3.8272506082725033E-2</c:v>
                </c:pt>
                <c:pt idx="15">
                  <c:v>4.1751824817518268E-2</c:v>
                </c:pt>
                <c:pt idx="16">
                  <c:v>4.5231143552311392E-2</c:v>
                </c:pt>
                <c:pt idx="17">
                  <c:v>4.8710462287104628E-2</c:v>
                </c:pt>
                <c:pt idx="18">
                  <c:v>5.2189781021897752E-2</c:v>
                </c:pt>
                <c:pt idx="19">
                  <c:v>5.5669099756690987E-2</c:v>
                </c:pt>
                <c:pt idx="20">
                  <c:v>5.9148418491484223E-2</c:v>
                </c:pt>
                <c:pt idx="21">
                  <c:v>6.2627737226277347E-2</c:v>
                </c:pt>
                <c:pt idx="22">
                  <c:v>6.6107055961070582E-2</c:v>
                </c:pt>
                <c:pt idx="23">
                  <c:v>6.9586374695863706E-2</c:v>
                </c:pt>
                <c:pt idx="24">
                  <c:v>7.3065693430656942E-2</c:v>
                </c:pt>
                <c:pt idx="25">
                  <c:v>7.6545012165450177E-2</c:v>
                </c:pt>
                <c:pt idx="26">
                  <c:v>8.0024330900243301E-2</c:v>
                </c:pt>
                <c:pt idx="27">
                  <c:v>8.3503649635036536E-2</c:v>
                </c:pt>
                <c:pt idx="28">
                  <c:v>8.6982968369829772E-2</c:v>
                </c:pt>
                <c:pt idx="29">
                  <c:v>9.0462287104622896E-2</c:v>
                </c:pt>
                <c:pt idx="30">
                  <c:v>9.3941605839416131E-2</c:v>
                </c:pt>
                <c:pt idx="31">
                  <c:v>9.7420924574209256E-2</c:v>
                </c:pt>
                <c:pt idx="32">
                  <c:v>0.10090024330900249</c:v>
                </c:pt>
                <c:pt idx="33">
                  <c:v>0.10437956204379573</c:v>
                </c:pt>
              </c:numCache>
            </c:numRef>
          </c:val>
          <c:extLst>
            <c:ext xmlns:c16="http://schemas.microsoft.com/office/drawing/2014/chart" uri="{C3380CC4-5D6E-409C-BE32-E72D297353CC}">
              <c16:uniqueId val="{00000009-7133-4704-80D8-1E00FFB5C364}"/>
            </c:ext>
          </c:extLst>
        </c:ser>
        <c:ser>
          <c:idx val="7"/>
          <c:order val="5"/>
          <c:tx>
            <c:strRef>
              <c:f>'Main calculations'!$FG$6</c:f>
              <c:strCache>
                <c:ptCount val="1"/>
                <c:pt idx="0">
                  <c:v>Trips &lt; 3km (car to walk/cycle)</c:v>
                </c:pt>
              </c:strCache>
            </c:strRef>
          </c:tx>
          <c:spPr>
            <a:solidFill>
              <a:schemeClr val="accent6">
                <a:lumMod val="60000"/>
                <a:lumOff val="40000"/>
              </a:schemeClr>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calculations'!$FG$123:$FG$156</c:f>
              <c:numCache>
                <c:formatCode>0.00%</c:formatCode>
                <c:ptCount val="34"/>
                <c:pt idx="0">
                  <c:v>0</c:v>
                </c:pt>
                <c:pt idx="1">
                  <c:v>0</c:v>
                </c:pt>
                <c:pt idx="2">
                  <c:v>0</c:v>
                </c:pt>
                <c:pt idx="3">
                  <c:v>0</c:v>
                </c:pt>
                <c:pt idx="4">
                  <c:v>1.6788321167883202E-3</c:v>
                </c:pt>
                <c:pt idx="5">
                  <c:v>3.3576642335766405E-3</c:v>
                </c:pt>
                <c:pt idx="6">
                  <c:v>5.0364963503649607E-3</c:v>
                </c:pt>
                <c:pt idx="7">
                  <c:v>6.7153284671532809E-3</c:v>
                </c:pt>
                <c:pt idx="8">
                  <c:v>8.3941605839416011E-3</c:v>
                </c:pt>
                <c:pt idx="9">
                  <c:v>1.0072992700729921E-2</c:v>
                </c:pt>
                <c:pt idx="10">
                  <c:v>1.1751824817518242E-2</c:v>
                </c:pt>
                <c:pt idx="11">
                  <c:v>1.3430656934306562E-2</c:v>
                </c:pt>
                <c:pt idx="12">
                  <c:v>1.5109489051094882E-2</c:v>
                </c:pt>
                <c:pt idx="13">
                  <c:v>1.6788321167883202E-2</c:v>
                </c:pt>
                <c:pt idx="14">
                  <c:v>1.8467153284671523E-2</c:v>
                </c:pt>
                <c:pt idx="15">
                  <c:v>2.0145985401459843E-2</c:v>
                </c:pt>
                <c:pt idx="16">
                  <c:v>2.1824817518248163E-2</c:v>
                </c:pt>
                <c:pt idx="17">
                  <c:v>2.3503649635036483E-2</c:v>
                </c:pt>
                <c:pt idx="18">
                  <c:v>2.5182481751824803E-2</c:v>
                </c:pt>
                <c:pt idx="19">
                  <c:v>2.6861313868613124E-2</c:v>
                </c:pt>
                <c:pt idx="20">
                  <c:v>2.8540145985401444E-2</c:v>
                </c:pt>
                <c:pt idx="21">
                  <c:v>3.0218978102189764E-2</c:v>
                </c:pt>
                <c:pt idx="22">
                  <c:v>3.1897810218978084E-2</c:v>
                </c:pt>
                <c:pt idx="23">
                  <c:v>3.3576642335766405E-2</c:v>
                </c:pt>
                <c:pt idx="24">
                  <c:v>3.5255474452554725E-2</c:v>
                </c:pt>
                <c:pt idx="25">
                  <c:v>3.6934306569343045E-2</c:v>
                </c:pt>
                <c:pt idx="26">
                  <c:v>3.8613138686131365E-2</c:v>
                </c:pt>
                <c:pt idx="27">
                  <c:v>4.0291970802919685E-2</c:v>
                </c:pt>
                <c:pt idx="28">
                  <c:v>4.1970802919708006E-2</c:v>
                </c:pt>
                <c:pt idx="29">
                  <c:v>4.3649635036496326E-2</c:v>
                </c:pt>
                <c:pt idx="30">
                  <c:v>4.5328467153284646E-2</c:v>
                </c:pt>
                <c:pt idx="31">
                  <c:v>4.7007299270072966E-2</c:v>
                </c:pt>
                <c:pt idx="32">
                  <c:v>4.8686131386861287E-2</c:v>
                </c:pt>
                <c:pt idx="33">
                  <c:v>5.0364963503649607E-2</c:v>
                </c:pt>
              </c:numCache>
            </c:numRef>
          </c:val>
          <c:extLst>
            <c:ext xmlns:c16="http://schemas.microsoft.com/office/drawing/2014/chart" uri="{C3380CC4-5D6E-409C-BE32-E72D297353CC}">
              <c16:uniqueId val="{0000000B-7133-4704-80D8-1E00FFB5C364}"/>
            </c:ext>
          </c:extLst>
        </c:ser>
        <c:ser>
          <c:idx val="5"/>
          <c:order val="6"/>
          <c:tx>
            <c:strRef>
              <c:f>'Main calculations'!$FH$6</c:f>
              <c:strCache>
                <c:ptCount val="1"/>
                <c:pt idx="0">
                  <c:v>Localisation</c:v>
                </c:pt>
              </c:strCache>
            </c:strRef>
          </c:tx>
          <c:spPr>
            <a:solidFill>
              <a:schemeClr val="accent2">
                <a:lumMod val="75000"/>
              </a:schemeClr>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calculations'!$FH$123:$FH$156</c:f>
              <c:numCache>
                <c:formatCode>0.00%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3.2142857142857251E-3</c:v>
                </c:pt>
                <c:pt idx="14">
                  <c:v>6.4285714285714501E-3</c:v>
                </c:pt>
                <c:pt idx="15">
                  <c:v>9.6428571428571752E-3</c:v>
                </c:pt>
                <c:pt idx="16">
                  <c:v>1.28571428571429E-2</c:v>
                </c:pt>
                <c:pt idx="17">
                  <c:v>1.6071428571428625E-2</c:v>
                </c:pt>
                <c:pt idx="18">
                  <c:v>1.9285714285714239E-2</c:v>
                </c:pt>
                <c:pt idx="19">
                  <c:v>2.2499999999999964E-2</c:v>
                </c:pt>
                <c:pt idx="20">
                  <c:v>2.571428571428569E-2</c:v>
                </c:pt>
                <c:pt idx="21">
                  <c:v>2.8928571428571415E-2</c:v>
                </c:pt>
                <c:pt idx="22">
                  <c:v>3.214285714285714E-2</c:v>
                </c:pt>
                <c:pt idx="23">
                  <c:v>3.5357142857142865E-2</c:v>
                </c:pt>
                <c:pt idx="24">
                  <c:v>3.857142857142859E-2</c:v>
                </c:pt>
                <c:pt idx="25">
                  <c:v>4.1785714285714315E-2</c:v>
                </c:pt>
                <c:pt idx="26">
                  <c:v>4.500000000000004E-2</c:v>
                </c:pt>
                <c:pt idx="27">
                  <c:v>4.8214285714285765E-2</c:v>
                </c:pt>
                <c:pt idx="28">
                  <c:v>5.1428571428571379E-2</c:v>
                </c:pt>
                <c:pt idx="29">
                  <c:v>5.4642857142857104E-2</c:v>
                </c:pt>
                <c:pt idx="30">
                  <c:v>5.7857142857142829E-2</c:v>
                </c:pt>
                <c:pt idx="31">
                  <c:v>6.1071428571428554E-2</c:v>
                </c:pt>
                <c:pt idx="32">
                  <c:v>6.4285714285714279E-2</c:v>
                </c:pt>
                <c:pt idx="33">
                  <c:v>6.7500000000000004E-2</c:v>
                </c:pt>
              </c:numCache>
            </c:numRef>
          </c:val>
          <c:extLst>
            <c:ext xmlns:c16="http://schemas.microsoft.com/office/drawing/2014/chart" uri="{C3380CC4-5D6E-409C-BE32-E72D297353CC}">
              <c16:uniqueId val="{0000000D-7133-4704-80D8-1E00FFB5C364}"/>
            </c:ext>
          </c:extLst>
        </c:ser>
        <c:ser>
          <c:idx val="9"/>
          <c:order val="7"/>
          <c:tx>
            <c:strRef>
              <c:f>'Main calculations'!$FI$6</c:f>
              <c:strCache>
                <c:ptCount val="1"/>
                <c:pt idx="0">
                  <c:v>Home delivery</c:v>
                </c:pt>
              </c:strCache>
            </c:strRef>
          </c:tx>
          <c:spPr>
            <a:solidFill>
              <a:schemeClr val="accent2"/>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calculations'!$FI$123:$FI$156</c:f>
              <c:numCache>
                <c:formatCode>0.00%</c:formatCode>
                <c:ptCount val="34"/>
                <c:pt idx="0">
                  <c:v>0</c:v>
                </c:pt>
                <c:pt idx="1">
                  <c:v>0</c:v>
                </c:pt>
                <c:pt idx="2">
                  <c:v>0</c:v>
                </c:pt>
                <c:pt idx="3">
                  <c:v>0</c:v>
                </c:pt>
                <c:pt idx="4">
                  <c:v>0</c:v>
                </c:pt>
                <c:pt idx="5">
                  <c:v>0</c:v>
                </c:pt>
                <c:pt idx="6">
                  <c:v>0</c:v>
                </c:pt>
                <c:pt idx="7">
                  <c:v>0</c:v>
                </c:pt>
                <c:pt idx="8">
                  <c:v>8.6538461538465672E-4</c:v>
                </c:pt>
                <c:pt idx="9">
                  <c:v>1.7307692307692024E-3</c:v>
                </c:pt>
                <c:pt idx="10">
                  <c:v>2.5961538461538591E-3</c:v>
                </c:pt>
                <c:pt idx="11">
                  <c:v>3.4615384615385159E-3</c:v>
                </c:pt>
                <c:pt idx="12">
                  <c:v>4.3269230769230616E-3</c:v>
                </c:pt>
                <c:pt idx="13">
                  <c:v>5.1923076923077183E-3</c:v>
                </c:pt>
                <c:pt idx="14">
                  <c:v>6.057692307692264E-3</c:v>
                </c:pt>
                <c:pt idx="15">
                  <c:v>6.9230769230769207E-3</c:v>
                </c:pt>
                <c:pt idx="16">
                  <c:v>7.7884615384615774E-3</c:v>
                </c:pt>
                <c:pt idx="17">
                  <c:v>8.6538461538461231E-3</c:v>
                </c:pt>
                <c:pt idx="18">
                  <c:v>9.5192307692307798E-3</c:v>
                </c:pt>
                <c:pt idx="19">
                  <c:v>1.0384615384615437E-2</c:v>
                </c:pt>
                <c:pt idx="20">
                  <c:v>1.1249999999999982E-2</c:v>
                </c:pt>
                <c:pt idx="21">
                  <c:v>1.2115384615384639E-2</c:v>
                </c:pt>
                <c:pt idx="22">
                  <c:v>1.2980769230769185E-2</c:v>
                </c:pt>
                <c:pt idx="23">
                  <c:v>1.3846153846153841E-2</c:v>
                </c:pt>
                <c:pt idx="24">
                  <c:v>1.4711538461538498E-2</c:v>
                </c:pt>
                <c:pt idx="25">
                  <c:v>1.5576923076923044E-2</c:v>
                </c:pt>
                <c:pt idx="26">
                  <c:v>1.6442307692307701E-2</c:v>
                </c:pt>
                <c:pt idx="27">
                  <c:v>1.7307692307692357E-2</c:v>
                </c:pt>
                <c:pt idx="28">
                  <c:v>1.8173076923076903E-2</c:v>
                </c:pt>
                <c:pt idx="29">
                  <c:v>1.903846153846156E-2</c:v>
                </c:pt>
                <c:pt idx="30">
                  <c:v>1.9903846153846105E-2</c:v>
                </c:pt>
                <c:pt idx="31">
                  <c:v>2.0769230769230762E-2</c:v>
                </c:pt>
                <c:pt idx="32">
                  <c:v>2.1634615384615419E-2</c:v>
                </c:pt>
                <c:pt idx="33">
                  <c:v>2.2499999999999964E-2</c:v>
                </c:pt>
              </c:numCache>
            </c:numRef>
          </c:val>
          <c:extLst>
            <c:ext xmlns:c16="http://schemas.microsoft.com/office/drawing/2014/chart" uri="{C3380CC4-5D6E-409C-BE32-E72D297353CC}">
              <c16:uniqueId val="{0000000F-7133-4704-80D8-1E00FFB5C364}"/>
            </c:ext>
          </c:extLst>
        </c:ser>
        <c:ser>
          <c:idx val="6"/>
          <c:order val="8"/>
          <c:tx>
            <c:strRef>
              <c:f>'Main calculations'!$FJ$6</c:f>
              <c:strCache>
                <c:ptCount val="1"/>
                <c:pt idx="0">
                  <c:v>Online / Teleservices</c:v>
                </c:pt>
              </c:strCache>
            </c:strRef>
          </c:tx>
          <c:spPr>
            <a:solidFill>
              <a:schemeClr val="accent2">
                <a:lumMod val="60000"/>
                <a:lumOff val="40000"/>
              </a:schemeClr>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calculations'!$FJ$123:$FJ$156</c:f>
              <c:numCache>
                <c:formatCode>0.00%</c:formatCode>
                <c:ptCount val="34"/>
                <c:pt idx="0">
                  <c:v>0</c:v>
                </c:pt>
                <c:pt idx="1">
                  <c:v>0</c:v>
                </c:pt>
                <c:pt idx="2">
                  <c:v>0</c:v>
                </c:pt>
                <c:pt idx="3">
                  <c:v>0</c:v>
                </c:pt>
                <c:pt idx="4">
                  <c:v>0</c:v>
                </c:pt>
                <c:pt idx="5">
                  <c:v>0</c:v>
                </c:pt>
                <c:pt idx="6">
                  <c:v>2.4999999999997247E-4</c:v>
                </c:pt>
                <c:pt idx="7">
                  <c:v>4.9999999999994493E-4</c:v>
                </c:pt>
                <c:pt idx="8">
                  <c:v>7.5000000000002842E-4</c:v>
                </c:pt>
                <c:pt idx="9">
                  <c:v>1.0000000000000009E-3</c:v>
                </c:pt>
                <c:pt idx="10">
                  <c:v>1.2499999999999734E-3</c:v>
                </c:pt>
                <c:pt idx="11">
                  <c:v>1.4999999999999458E-3</c:v>
                </c:pt>
                <c:pt idx="12">
                  <c:v>1.7500000000000293E-3</c:v>
                </c:pt>
                <c:pt idx="13">
                  <c:v>2.0000000000000018E-3</c:v>
                </c:pt>
                <c:pt idx="14">
                  <c:v>2.2499999999999742E-3</c:v>
                </c:pt>
                <c:pt idx="15">
                  <c:v>2.4999999999999467E-3</c:v>
                </c:pt>
                <c:pt idx="16">
                  <c:v>2.7500000000000302E-3</c:v>
                </c:pt>
                <c:pt idx="17">
                  <c:v>3.0000000000000027E-3</c:v>
                </c:pt>
                <c:pt idx="18">
                  <c:v>3.2499999999999751E-3</c:v>
                </c:pt>
                <c:pt idx="19">
                  <c:v>3.4999999999999476E-3</c:v>
                </c:pt>
                <c:pt idx="20">
                  <c:v>3.7500000000000311E-3</c:v>
                </c:pt>
                <c:pt idx="21">
                  <c:v>4.0000000000000036E-3</c:v>
                </c:pt>
                <c:pt idx="22">
                  <c:v>4.249999999999976E-3</c:v>
                </c:pt>
                <c:pt idx="23">
                  <c:v>4.4999999999999485E-3</c:v>
                </c:pt>
                <c:pt idx="24">
                  <c:v>4.750000000000032E-3</c:v>
                </c:pt>
                <c:pt idx="25">
                  <c:v>5.0000000000000044E-3</c:v>
                </c:pt>
                <c:pt idx="26">
                  <c:v>5.2499999999999769E-3</c:v>
                </c:pt>
                <c:pt idx="27">
                  <c:v>5.4999999999999494E-3</c:v>
                </c:pt>
                <c:pt idx="28">
                  <c:v>5.7500000000000329E-3</c:v>
                </c:pt>
                <c:pt idx="29">
                  <c:v>6.0000000000000053E-3</c:v>
                </c:pt>
                <c:pt idx="30">
                  <c:v>6.2499999999999778E-3</c:v>
                </c:pt>
                <c:pt idx="31">
                  <c:v>6.4999999999999503E-3</c:v>
                </c:pt>
                <c:pt idx="32">
                  <c:v>6.7500000000000338E-3</c:v>
                </c:pt>
                <c:pt idx="33">
                  <c:v>7.0000000000000062E-3</c:v>
                </c:pt>
              </c:numCache>
            </c:numRef>
          </c:val>
          <c:extLst>
            <c:ext xmlns:c16="http://schemas.microsoft.com/office/drawing/2014/chart" uri="{C3380CC4-5D6E-409C-BE32-E72D297353CC}">
              <c16:uniqueId val="{00000010-7133-4704-80D8-1E00FFB5C364}"/>
            </c:ext>
          </c:extLst>
        </c:ser>
        <c:ser>
          <c:idx val="3"/>
          <c:order val="9"/>
          <c:tx>
            <c:strRef>
              <c:f>'Main calculations'!$FK$6</c:f>
              <c:strCache>
                <c:ptCount val="1"/>
                <c:pt idx="0">
                  <c:v>Work from Home</c:v>
                </c:pt>
              </c:strCache>
            </c:strRef>
          </c:tx>
          <c:spPr>
            <a:solidFill>
              <a:schemeClr val="accent2">
                <a:lumMod val="20000"/>
                <a:lumOff val="80000"/>
              </a:schemeClr>
            </a:solidFill>
            <a:ln w="25400">
              <a:noFill/>
            </a:ln>
            <a:effectLst/>
          </c:spP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calculations'!$FK$123:$FK$156</c:f>
              <c:numCache>
                <c:formatCode>0.00%</c:formatCode>
                <c:ptCount val="34"/>
                <c:pt idx="0">
                  <c:v>0</c:v>
                </c:pt>
                <c:pt idx="1">
                  <c:v>0</c:v>
                </c:pt>
                <c:pt idx="2">
                  <c:v>0</c:v>
                </c:pt>
                <c:pt idx="3">
                  <c:v>0</c:v>
                </c:pt>
                <c:pt idx="4">
                  <c:v>9.5999999999996088E-4</c:v>
                </c:pt>
                <c:pt idx="5">
                  <c:v>1.9200000000000328E-3</c:v>
                </c:pt>
                <c:pt idx="6">
                  <c:v>2.8799999999999937E-3</c:v>
                </c:pt>
                <c:pt idx="7">
                  <c:v>3.8399999999999546E-3</c:v>
                </c:pt>
                <c:pt idx="8">
                  <c:v>4.8000000000000265E-3</c:v>
                </c:pt>
                <c:pt idx="9">
                  <c:v>5.7599999999999874E-3</c:v>
                </c:pt>
                <c:pt idx="10">
                  <c:v>6.7199999999999482E-3</c:v>
                </c:pt>
                <c:pt idx="11">
                  <c:v>7.6800000000000201E-3</c:v>
                </c:pt>
                <c:pt idx="12">
                  <c:v>8.639999999999981E-3</c:v>
                </c:pt>
                <c:pt idx="13">
                  <c:v>9.6000000000000529E-3</c:v>
                </c:pt>
                <c:pt idx="14">
                  <c:v>1.0560000000000014E-2</c:v>
                </c:pt>
                <c:pt idx="15">
                  <c:v>1.1519999999999975E-2</c:v>
                </c:pt>
                <c:pt idx="16">
                  <c:v>1.2480000000000047E-2</c:v>
                </c:pt>
                <c:pt idx="17">
                  <c:v>1.3440000000000007E-2</c:v>
                </c:pt>
                <c:pt idx="18">
                  <c:v>1.4399999999999968E-2</c:v>
                </c:pt>
                <c:pt idx="19">
                  <c:v>1.536000000000004E-2</c:v>
                </c:pt>
                <c:pt idx="20">
                  <c:v>1.6320000000000001E-2</c:v>
                </c:pt>
                <c:pt idx="21">
                  <c:v>1.7279999999999962E-2</c:v>
                </c:pt>
                <c:pt idx="22">
                  <c:v>1.8240000000000034E-2</c:v>
                </c:pt>
                <c:pt idx="23">
                  <c:v>1.9199999999999995E-2</c:v>
                </c:pt>
                <c:pt idx="24">
                  <c:v>2.0159999999999956E-2</c:v>
                </c:pt>
                <c:pt idx="25">
                  <c:v>2.1120000000000028E-2</c:v>
                </c:pt>
                <c:pt idx="26">
                  <c:v>2.2079999999999989E-2</c:v>
                </c:pt>
                <c:pt idx="27">
                  <c:v>2.3039999999999949E-2</c:v>
                </c:pt>
                <c:pt idx="28">
                  <c:v>2.4000000000000021E-2</c:v>
                </c:pt>
                <c:pt idx="29">
                  <c:v>2.4959999999999982E-2</c:v>
                </c:pt>
                <c:pt idx="30">
                  <c:v>2.5919999999999943E-2</c:v>
                </c:pt>
                <c:pt idx="31">
                  <c:v>2.6880000000000015E-2</c:v>
                </c:pt>
                <c:pt idx="32">
                  <c:v>2.7839999999999976E-2</c:v>
                </c:pt>
                <c:pt idx="33">
                  <c:v>2.8799999999999937E-2</c:v>
                </c:pt>
              </c:numCache>
            </c:numRef>
          </c:val>
          <c:extLst>
            <c:ext xmlns:c16="http://schemas.microsoft.com/office/drawing/2014/chart" uri="{C3380CC4-5D6E-409C-BE32-E72D297353CC}">
              <c16:uniqueId val="{00000012-7133-4704-80D8-1E00FFB5C364}"/>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7-7133-4704-80D8-1E00FFB5C3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8-7133-4704-80D8-1E00FFB5C364}"/>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4-7133-4704-80D8-1E00FFB5C364}"/>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14-7133-4704-80D8-1E00FFB5C3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15-7133-4704-80D8-1E00FFB5C364}"/>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6-7133-4704-80D8-1E00FFB5C364}"/>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legend>
      <c:legendPos val="b"/>
      <c:legendEntry>
        <c:idx val="10"/>
        <c:delete val="1"/>
      </c:legendEntry>
      <c:legendEntry>
        <c:idx val="11"/>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Full range of BEV uptake scenarios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'Stress calculations'!$EC$10</c:f>
              <c:strCache>
                <c:ptCount val="1"/>
                <c:pt idx="0">
                  <c:v>Residual emissions</c:v>
                </c:pt>
              </c:strCache>
            </c:strRef>
          </c:tx>
          <c:spPr>
            <a:solidFill>
              <a:schemeClr val="bg1">
                <a:lumMod val="75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calculations'!$EC$11:$EC$40</c:f>
              <c:numCache>
                <c:formatCode>0.00%</c:formatCode>
                <c:ptCount val="30"/>
                <c:pt idx="0">
                  <c:v>0.9307160784313725</c:v>
                </c:pt>
                <c:pt idx="1">
                  <c:v>0.91143215686274504</c:v>
                </c:pt>
                <c:pt idx="2">
                  <c:v>0.88459580407161109</c:v>
                </c:pt>
                <c:pt idx="3">
                  <c:v>0.85705712362830355</c:v>
                </c:pt>
                <c:pt idx="4">
                  <c:v>0.82795073091743743</c:v>
                </c:pt>
                <c:pt idx="5">
                  <c:v>0.79814201055439749</c:v>
                </c:pt>
                <c:pt idx="6">
                  <c:v>0.76763096253918306</c:v>
                </c:pt>
                <c:pt idx="7">
                  <c:v>0.73641758687179459</c:v>
                </c:pt>
                <c:pt idx="8">
                  <c:v>0.70450188355223275</c:v>
                </c:pt>
                <c:pt idx="9">
                  <c:v>0.66866956686621126</c:v>
                </c:pt>
                <c:pt idx="10">
                  <c:v>0.63213492252801617</c:v>
                </c:pt>
                <c:pt idx="11">
                  <c:v>0.5948979505376466</c:v>
                </c:pt>
                <c:pt idx="12">
                  <c:v>0.55695865089510321</c:v>
                </c:pt>
                <c:pt idx="13">
                  <c:v>0.51831702360038578</c:v>
                </c:pt>
                <c:pt idx="14">
                  <c:v>0.47897306865349476</c:v>
                </c:pt>
                <c:pt idx="15">
                  <c:v>0.43892678605442959</c:v>
                </c:pt>
                <c:pt idx="16">
                  <c:v>0.39817817580319104</c:v>
                </c:pt>
                <c:pt idx="17">
                  <c:v>0.36171782613507231</c:v>
                </c:pt>
                <c:pt idx="18">
                  <c:v>0.32455514881477954</c:v>
                </c:pt>
                <c:pt idx="19">
                  <c:v>0.28669014384231306</c:v>
                </c:pt>
                <c:pt idx="20">
                  <c:v>0.26074807366268504</c:v>
                </c:pt>
                <c:pt idx="21">
                  <c:v>0.23580412113011617</c:v>
                </c:pt>
                <c:pt idx="22">
                  <c:v>0.21086016859754719</c:v>
                </c:pt>
                <c:pt idx="23">
                  <c:v>0.18591621606497843</c:v>
                </c:pt>
                <c:pt idx="24">
                  <c:v>0.16097226353240945</c:v>
                </c:pt>
                <c:pt idx="25">
                  <c:v>0.1360283109998407</c:v>
                </c:pt>
                <c:pt idx="26">
                  <c:v>0.11108435846727172</c:v>
                </c:pt>
                <c:pt idx="27">
                  <c:v>8.6140405934702846E-2</c:v>
                </c:pt>
                <c:pt idx="28">
                  <c:v>6.1196453402133755E-2</c:v>
                </c:pt>
                <c:pt idx="29">
                  <c:v>3.6252500869564996E-2</c:v>
                </c:pt>
              </c:numCache>
            </c:numRef>
          </c:val>
          <c:extLst>
            <c:ext xmlns:c16="http://schemas.microsoft.com/office/drawing/2014/chart" uri="{C3380CC4-5D6E-409C-BE32-E72D297353CC}">
              <c16:uniqueId val="{00000000-2DA7-45D5-91E0-B793E0A670B2}"/>
            </c:ext>
          </c:extLst>
        </c:ser>
        <c:ser>
          <c:idx val="1"/>
          <c:order val="1"/>
          <c:tx>
            <c:strRef>
              <c:f>'Stress calculations'!$EE$10</c:f>
              <c:strCache>
                <c:ptCount val="1"/>
                <c:pt idx="0">
                  <c:v>100% BEV</c:v>
                </c:pt>
              </c:strCache>
            </c:strRef>
          </c:tx>
          <c:spPr>
            <a:solidFill>
              <a:srgbClr val="E6AF00"/>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calculations'!$EE$11:$EE$40</c:f>
              <c:numCache>
                <c:formatCode>0.0%</c:formatCode>
                <c:ptCount val="30"/>
                <c:pt idx="0">
                  <c:v>0</c:v>
                </c:pt>
                <c:pt idx="1">
                  <c:v>0</c:v>
                </c:pt>
                <c:pt idx="2">
                  <c:v>1.4715764405797138E-3</c:v>
                </c:pt>
                <c:pt idx="3">
                  <c:v>3.0836184115942133E-3</c:v>
                </c:pt>
                <c:pt idx="4">
                  <c:v>4.8361259130433876E-3</c:v>
                </c:pt>
                <c:pt idx="5">
                  <c:v>6.7290989449274585E-3</c:v>
                </c:pt>
                <c:pt idx="6">
                  <c:v>8.7625375072463152E-3</c:v>
                </c:pt>
                <c:pt idx="7">
                  <c:v>1.0936441599999958E-2</c:v>
                </c:pt>
                <c:pt idx="8">
                  <c:v>1.3250811223188386E-2</c:v>
                </c:pt>
                <c:pt idx="9">
                  <c:v>1.5705646376811599E-2</c:v>
                </c:pt>
                <c:pt idx="10">
                  <c:v>1.8300947060869488E-2</c:v>
                </c:pt>
                <c:pt idx="11">
                  <c:v>2.1036713275362273E-2</c:v>
                </c:pt>
                <c:pt idx="12">
                  <c:v>2.3912945020289844E-2</c:v>
                </c:pt>
                <c:pt idx="13">
                  <c:v>2.6929642295652201E-2</c:v>
                </c:pt>
                <c:pt idx="14">
                  <c:v>3.0086805101449288E-2</c:v>
                </c:pt>
                <c:pt idx="15">
                  <c:v>3.3384433437681216E-2</c:v>
                </c:pt>
                <c:pt idx="16">
                  <c:v>3.6822527304347763E-2</c:v>
                </c:pt>
                <c:pt idx="17">
                  <c:v>4.0401086701449263E-2</c:v>
                </c:pt>
                <c:pt idx="18">
                  <c:v>4.4120111628985492E-2</c:v>
                </c:pt>
                <c:pt idx="19">
                  <c:v>4.7979602086956508E-2</c:v>
                </c:pt>
                <c:pt idx="20">
                  <c:v>4.9243791860869579E-2</c:v>
                </c:pt>
                <c:pt idx="21">
                  <c:v>5.050798163478265E-2</c:v>
                </c:pt>
                <c:pt idx="22">
                  <c:v>5.1772171408695666E-2</c:v>
                </c:pt>
                <c:pt idx="23">
                  <c:v>5.3036361182608682E-2</c:v>
                </c:pt>
                <c:pt idx="24">
                  <c:v>5.4300550956521754E-2</c:v>
                </c:pt>
                <c:pt idx="25">
                  <c:v>5.556474073043477E-2</c:v>
                </c:pt>
                <c:pt idx="26">
                  <c:v>5.6828930504347827E-2</c:v>
                </c:pt>
                <c:pt idx="27">
                  <c:v>5.8093120278260871E-2</c:v>
                </c:pt>
                <c:pt idx="28">
                  <c:v>5.9357310052173928E-2</c:v>
                </c:pt>
                <c:pt idx="29">
                  <c:v>6.0621499826086958E-2</c:v>
                </c:pt>
              </c:numCache>
            </c:numRef>
          </c:val>
          <c:extLst>
            <c:ext xmlns:c16="http://schemas.microsoft.com/office/drawing/2014/chart" uri="{C3380CC4-5D6E-409C-BE32-E72D297353CC}">
              <c16:uniqueId val="{00000001-2DA7-45D5-91E0-B793E0A670B2}"/>
            </c:ext>
          </c:extLst>
        </c:ser>
        <c:ser>
          <c:idx val="2"/>
          <c:order val="2"/>
          <c:tx>
            <c:strRef>
              <c:f>'Stress calculations'!$EF$10</c:f>
              <c:strCache>
                <c:ptCount val="1"/>
                <c:pt idx="0">
                  <c:v>80% BEV</c:v>
                </c:pt>
              </c:strCache>
            </c:strRef>
          </c:tx>
          <c:spPr>
            <a:solidFill>
              <a:srgbClr val="F2B800"/>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calculations'!$EF$11:$EF$40</c:f>
              <c:numCache>
                <c:formatCode>0.0%</c:formatCode>
                <c:ptCount val="30"/>
                <c:pt idx="0">
                  <c:v>0</c:v>
                </c:pt>
                <c:pt idx="1">
                  <c:v>0</c:v>
                </c:pt>
                <c:pt idx="2">
                  <c:v>1.4715764405797138E-3</c:v>
                </c:pt>
                <c:pt idx="3">
                  <c:v>3.0836184115942133E-3</c:v>
                </c:pt>
                <c:pt idx="4">
                  <c:v>4.8361259130433876E-3</c:v>
                </c:pt>
                <c:pt idx="5">
                  <c:v>6.7290989449274585E-3</c:v>
                </c:pt>
                <c:pt idx="6">
                  <c:v>8.7625375072464262E-3</c:v>
                </c:pt>
                <c:pt idx="7">
                  <c:v>1.0936441600000069E-2</c:v>
                </c:pt>
                <c:pt idx="8">
                  <c:v>1.3250811223188497E-2</c:v>
                </c:pt>
                <c:pt idx="9">
                  <c:v>1.5705646376811599E-2</c:v>
                </c:pt>
                <c:pt idx="10">
                  <c:v>1.8300947060869488E-2</c:v>
                </c:pt>
                <c:pt idx="11">
                  <c:v>2.1036713275362273E-2</c:v>
                </c:pt>
                <c:pt idx="12">
                  <c:v>2.3912945020289844E-2</c:v>
                </c:pt>
                <c:pt idx="13">
                  <c:v>2.6929642295652201E-2</c:v>
                </c:pt>
                <c:pt idx="14">
                  <c:v>3.0086805101449343E-2</c:v>
                </c:pt>
                <c:pt idx="15">
                  <c:v>3.3384433437681216E-2</c:v>
                </c:pt>
                <c:pt idx="16">
                  <c:v>3.6822527304347763E-2</c:v>
                </c:pt>
                <c:pt idx="17">
                  <c:v>4.0401086701449263E-2</c:v>
                </c:pt>
                <c:pt idx="18">
                  <c:v>4.4120111628985492E-2</c:v>
                </c:pt>
                <c:pt idx="19">
                  <c:v>4.7979602086956563E-2</c:v>
                </c:pt>
                <c:pt idx="20">
                  <c:v>4.9243791860869635E-2</c:v>
                </c:pt>
                <c:pt idx="21">
                  <c:v>5.050798163478265E-2</c:v>
                </c:pt>
                <c:pt idx="22">
                  <c:v>5.1772171408695833E-2</c:v>
                </c:pt>
                <c:pt idx="23">
                  <c:v>5.3036361182608738E-2</c:v>
                </c:pt>
                <c:pt idx="24">
                  <c:v>5.4300550956521698E-2</c:v>
                </c:pt>
                <c:pt idx="25">
                  <c:v>5.5564740730434825E-2</c:v>
                </c:pt>
                <c:pt idx="26">
                  <c:v>5.6828930504347897E-2</c:v>
                </c:pt>
                <c:pt idx="27">
                  <c:v>5.8093120278260912E-2</c:v>
                </c:pt>
                <c:pt idx="28">
                  <c:v>5.935731005217397E-2</c:v>
                </c:pt>
                <c:pt idx="29">
                  <c:v>6.0621499826087014E-2</c:v>
                </c:pt>
              </c:numCache>
            </c:numRef>
          </c:val>
          <c:extLst>
            <c:ext xmlns:c16="http://schemas.microsoft.com/office/drawing/2014/chart" uri="{C3380CC4-5D6E-409C-BE32-E72D297353CC}">
              <c16:uniqueId val="{00000002-2DA7-45D5-91E0-B793E0A670B2}"/>
            </c:ext>
          </c:extLst>
        </c:ser>
        <c:ser>
          <c:idx val="3"/>
          <c:order val="3"/>
          <c:tx>
            <c:strRef>
              <c:f>'Stress calculations'!$EG$10</c:f>
              <c:strCache>
                <c:ptCount val="1"/>
                <c:pt idx="0">
                  <c:v>60% BEV</c:v>
                </c:pt>
              </c:strCache>
            </c:strRef>
          </c:tx>
          <c:spPr>
            <a:solidFill>
              <a:schemeClr val="accent4"/>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calculations'!$EG$11:$EG$40</c:f>
              <c:numCache>
                <c:formatCode>0.0%</c:formatCode>
                <c:ptCount val="30"/>
                <c:pt idx="0">
                  <c:v>0</c:v>
                </c:pt>
                <c:pt idx="1">
                  <c:v>0</c:v>
                </c:pt>
                <c:pt idx="2">
                  <c:v>1.4715764405797138E-3</c:v>
                </c:pt>
                <c:pt idx="3">
                  <c:v>3.0836184115942133E-3</c:v>
                </c:pt>
                <c:pt idx="4">
                  <c:v>4.8361259130433876E-3</c:v>
                </c:pt>
                <c:pt idx="5">
                  <c:v>6.7290989449274585E-3</c:v>
                </c:pt>
                <c:pt idx="6">
                  <c:v>8.7625375072463152E-3</c:v>
                </c:pt>
                <c:pt idx="7">
                  <c:v>1.0936441599999958E-2</c:v>
                </c:pt>
                <c:pt idx="8">
                  <c:v>1.3250811223188386E-2</c:v>
                </c:pt>
                <c:pt idx="9">
                  <c:v>1.5705646376811599E-2</c:v>
                </c:pt>
                <c:pt idx="10">
                  <c:v>1.8300947060869488E-2</c:v>
                </c:pt>
                <c:pt idx="11">
                  <c:v>2.1036713275362273E-2</c:v>
                </c:pt>
                <c:pt idx="12">
                  <c:v>2.3912945020289844E-2</c:v>
                </c:pt>
                <c:pt idx="13">
                  <c:v>2.6929642295652201E-2</c:v>
                </c:pt>
                <c:pt idx="14">
                  <c:v>3.0086805101449343E-2</c:v>
                </c:pt>
                <c:pt idx="15">
                  <c:v>3.338443343768116E-2</c:v>
                </c:pt>
                <c:pt idx="16">
                  <c:v>3.6822527304347763E-2</c:v>
                </c:pt>
                <c:pt idx="17">
                  <c:v>4.0401086701449263E-2</c:v>
                </c:pt>
                <c:pt idx="18">
                  <c:v>4.4120111628985492E-2</c:v>
                </c:pt>
                <c:pt idx="19">
                  <c:v>4.7979602086956563E-2</c:v>
                </c:pt>
                <c:pt idx="20">
                  <c:v>4.9243791860869579E-2</c:v>
                </c:pt>
                <c:pt idx="21">
                  <c:v>5.0507981634782595E-2</c:v>
                </c:pt>
                <c:pt idx="22">
                  <c:v>5.1772171408695666E-2</c:v>
                </c:pt>
                <c:pt idx="23">
                  <c:v>5.3036361182608627E-2</c:v>
                </c:pt>
                <c:pt idx="24">
                  <c:v>5.4300550956521754E-2</c:v>
                </c:pt>
                <c:pt idx="25">
                  <c:v>5.556474073043477E-2</c:v>
                </c:pt>
                <c:pt idx="26">
                  <c:v>5.6828930504347841E-2</c:v>
                </c:pt>
                <c:pt idx="27">
                  <c:v>5.8093120278260857E-2</c:v>
                </c:pt>
                <c:pt idx="28">
                  <c:v>5.9357310052173956E-2</c:v>
                </c:pt>
                <c:pt idx="29">
                  <c:v>6.0621499826086944E-2</c:v>
                </c:pt>
              </c:numCache>
            </c:numRef>
          </c:val>
          <c:extLst>
            <c:ext xmlns:c16="http://schemas.microsoft.com/office/drawing/2014/chart" uri="{C3380CC4-5D6E-409C-BE32-E72D297353CC}">
              <c16:uniqueId val="{00000003-2DA7-45D5-91E0-B793E0A670B2}"/>
            </c:ext>
          </c:extLst>
        </c:ser>
        <c:ser>
          <c:idx val="4"/>
          <c:order val="4"/>
          <c:tx>
            <c:strRef>
              <c:f>'Stress calculations'!$EH$10</c:f>
              <c:strCache>
                <c:ptCount val="1"/>
                <c:pt idx="0">
                  <c:v>40%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calculations'!$EH$11:$EH$40</c:f>
              <c:numCache>
                <c:formatCode>0.0%</c:formatCode>
                <c:ptCount val="30"/>
                <c:pt idx="0">
                  <c:v>0</c:v>
                </c:pt>
                <c:pt idx="1">
                  <c:v>0</c:v>
                </c:pt>
                <c:pt idx="2">
                  <c:v>1.4715764405797138E-3</c:v>
                </c:pt>
                <c:pt idx="3">
                  <c:v>3.0836184115942133E-3</c:v>
                </c:pt>
                <c:pt idx="4">
                  <c:v>4.8361259130433876E-3</c:v>
                </c:pt>
                <c:pt idx="5">
                  <c:v>6.7290989449274585E-3</c:v>
                </c:pt>
                <c:pt idx="6">
                  <c:v>8.7625375072463152E-3</c:v>
                </c:pt>
                <c:pt idx="7">
                  <c:v>1.0936441600000069E-2</c:v>
                </c:pt>
                <c:pt idx="8">
                  <c:v>1.3250811223188497E-2</c:v>
                </c:pt>
                <c:pt idx="9">
                  <c:v>1.5705646376811599E-2</c:v>
                </c:pt>
                <c:pt idx="10">
                  <c:v>1.8300947060869488E-2</c:v>
                </c:pt>
                <c:pt idx="11">
                  <c:v>2.1036713275362273E-2</c:v>
                </c:pt>
                <c:pt idx="12">
                  <c:v>2.3912945020289844E-2</c:v>
                </c:pt>
                <c:pt idx="13">
                  <c:v>2.6929642295652201E-2</c:v>
                </c:pt>
                <c:pt idx="14">
                  <c:v>3.0086805101449343E-2</c:v>
                </c:pt>
                <c:pt idx="15">
                  <c:v>3.3384433437681271E-2</c:v>
                </c:pt>
                <c:pt idx="16">
                  <c:v>3.6822527304347763E-2</c:v>
                </c:pt>
                <c:pt idx="17">
                  <c:v>4.0401086701449263E-2</c:v>
                </c:pt>
                <c:pt idx="18">
                  <c:v>4.4120111628985548E-2</c:v>
                </c:pt>
                <c:pt idx="19">
                  <c:v>4.7979602086956563E-2</c:v>
                </c:pt>
                <c:pt idx="20">
                  <c:v>4.9243791860869579E-2</c:v>
                </c:pt>
                <c:pt idx="21">
                  <c:v>5.050798163478265E-2</c:v>
                </c:pt>
                <c:pt idx="22">
                  <c:v>5.1772171408695611E-2</c:v>
                </c:pt>
                <c:pt idx="23">
                  <c:v>5.3036361182608738E-2</c:v>
                </c:pt>
                <c:pt idx="24">
                  <c:v>5.4300550956521809E-2</c:v>
                </c:pt>
                <c:pt idx="25">
                  <c:v>5.5564740730434825E-2</c:v>
                </c:pt>
                <c:pt idx="26">
                  <c:v>5.6828930504347841E-2</c:v>
                </c:pt>
                <c:pt idx="27">
                  <c:v>5.8093120278260912E-2</c:v>
                </c:pt>
                <c:pt idx="28">
                  <c:v>5.9357310052173956E-2</c:v>
                </c:pt>
                <c:pt idx="29">
                  <c:v>6.0621499826087E-2</c:v>
                </c:pt>
              </c:numCache>
            </c:numRef>
          </c:val>
          <c:extLst>
            <c:ext xmlns:c16="http://schemas.microsoft.com/office/drawing/2014/chart" uri="{C3380CC4-5D6E-409C-BE32-E72D297353CC}">
              <c16:uniqueId val="{00000004-2DA7-45D5-91E0-B793E0A670B2}"/>
            </c:ext>
          </c:extLst>
        </c:ser>
        <c:ser>
          <c:idx val="5"/>
          <c:order val="5"/>
          <c:tx>
            <c:strRef>
              <c:f>'Stress calculations'!$EI$10</c:f>
              <c:strCache>
                <c:ptCount val="1"/>
                <c:pt idx="0">
                  <c:v>20% BEV</c:v>
                </c:pt>
              </c:strCache>
            </c:strRef>
          </c:tx>
          <c:spPr>
            <a:solidFill>
              <a:schemeClr val="accent4">
                <a:lumMod val="40000"/>
                <a:lumOff val="6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calculations'!$EI$11:$EI$40</c:f>
              <c:numCache>
                <c:formatCode>0.0%</c:formatCode>
                <c:ptCount val="30"/>
                <c:pt idx="0">
                  <c:v>0</c:v>
                </c:pt>
                <c:pt idx="1">
                  <c:v>0</c:v>
                </c:pt>
                <c:pt idx="2">
                  <c:v>7.0806273009382803E-4</c:v>
                </c:pt>
                <c:pt idx="3">
                  <c:v>1.4863582254049934E-3</c:v>
                </c:pt>
                <c:pt idx="4">
                  <c:v>2.3348864859334961E-3</c:v>
                </c:pt>
                <c:pt idx="5">
                  <c:v>3.2536475116794472E-3</c:v>
                </c:pt>
                <c:pt idx="6">
                  <c:v>4.2426413026428467E-3</c:v>
                </c:pt>
                <c:pt idx="7">
                  <c:v>5.3018678588235835E-3</c:v>
                </c:pt>
                <c:pt idx="8">
                  <c:v>6.4313271802216576E-3</c:v>
                </c:pt>
                <c:pt idx="9">
                  <c:v>7.6310192668371801E-3</c:v>
                </c:pt>
                <c:pt idx="10">
                  <c:v>8.900944118670151E-3</c:v>
                </c:pt>
                <c:pt idx="11">
                  <c:v>1.0241101735720459E-2</c:v>
                </c:pt>
                <c:pt idx="12">
                  <c:v>1.1651492117988105E-2</c:v>
                </c:pt>
                <c:pt idx="13">
                  <c:v>1.3132115265473199E-2</c:v>
                </c:pt>
                <c:pt idx="14">
                  <c:v>1.468297117817563E-2</c:v>
                </c:pt>
                <c:pt idx="15">
                  <c:v>1.630405985609551E-2</c:v>
                </c:pt>
                <c:pt idx="16">
                  <c:v>1.7995381299232838E-2</c:v>
                </c:pt>
                <c:pt idx="17">
                  <c:v>1.9756935507587392E-2</c:v>
                </c:pt>
                <c:pt idx="18">
                  <c:v>2.1588722481159395E-2</c:v>
                </c:pt>
                <c:pt idx="19">
                  <c:v>2.3490742219948846E-2</c:v>
                </c:pt>
                <c:pt idx="20">
                  <c:v>2.4621895930434734E-2</c:v>
                </c:pt>
                <c:pt idx="21">
                  <c:v>2.525399081739127E-2</c:v>
                </c:pt>
                <c:pt idx="22">
                  <c:v>2.5886085704347861E-2</c:v>
                </c:pt>
                <c:pt idx="23">
                  <c:v>2.6518180591304397E-2</c:v>
                </c:pt>
                <c:pt idx="24">
                  <c:v>2.7150275478260877E-2</c:v>
                </c:pt>
                <c:pt idx="25">
                  <c:v>2.7782370365217413E-2</c:v>
                </c:pt>
                <c:pt idx="26">
                  <c:v>2.8414465252173948E-2</c:v>
                </c:pt>
                <c:pt idx="27">
                  <c:v>2.9046560139130484E-2</c:v>
                </c:pt>
                <c:pt idx="28">
                  <c:v>2.9678655026086964E-2</c:v>
                </c:pt>
                <c:pt idx="29">
                  <c:v>3.03107499130435E-2</c:v>
                </c:pt>
              </c:numCache>
            </c:numRef>
          </c:val>
          <c:extLst>
            <c:ext xmlns:c16="http://schemas.microsoft.com/office/drawing/2014/chart" uri="{C3380CC4-5D6E-409C-BE32-E72D297353CC}">
              <c16:uniqueId val="{00000005-2DA7-45D5-91E0-B793E0A670B2}"/>
            </c:ext>
          </c:extLst>
        </c:ser>
        <c:ser>
          <c:idx val="6"/>
          <c:order val="6"/>
          <c:tx>
            <c:strRef>
              <c:f>'Stress calculations'!$EJ$10</c:f>
              <c:strCache>
                <c:ptCount val="1"/>
                <c:pt idx="0">
                  <c:v>10% BEV</c:v>
                </c:pt>
              </c:strCache>
            </c:strRef>
          </c:tx>
          <c:spPr>
            <a:solidFill>
              <a:schemeClr val="accent4">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calculations'!$EJ$11:$EJ$40</c:f>
              <c:numCache>
                <c:formatCode>0.0%</c:formatCode>
                <c:ptCount val="30"/>
                <c:pt idx="0">
                  <c:v>0</c:v>
                </c:pt>
                <c:pt idx="1">
                  <c:v>0</c:v>
                </c:pt>
                <c:pt idx="2">
                  <c:v>7.0806273009382803E-4</c:v>
                </c:pt>
                <c:pt idx="3">
                  <c:v>1.4863582254049934E-3</c:v>
                </c:pt>
                <c:pt idx="4">
                  <c:v>2.3348864859334961E-3</c:v>
                </c:pt>
                <c:pt idx="5">
                  <c:v>3.2536475116794472E-3</c:v>
                </c:pt>
                <c:pt idx="6">
                  <c:v>4.2426413026428467E-3</c:v>
                </c:pt>
                <c:pt idx="7">
                  <c:v>5.3018678588235835E-3</c:v>
                </c:pt>
                <c:pt idx="8">
                  <c:v>6.4313271802216576E-3</c:v>
                </c:pt>
                <c:pt idx="9">
                  <c:v>7.6310192668371801E-3</c:v>
                </c:pt>
                <c:pt idx="10">
                  <c:v>8.900944118670151E-3</c:v>
                </c:pt>
                <c:pt idx="11">
                  <c:v>1.0241101735720348E-2</c:v>
                </c:pt>
                <c:pt idx="12">
                  <c:v>1.1651492117988105E-2</c:v>
                </c:pt>
                <c:pt idx="13">
                  <c:v>1.3132115265473199E-2</c:v>
                </c:pt>
                <c:pt idx="14">
                  <c:v>1.468297117817563E-2</c:v>
                </c:pt>
                <c:pt idx="15">
                  <c:v>1.630405985609551E-2</c:v>
                </c:pt>
                <c:pt idx="16">
                  <c:v>1.7995381299232727E-2</c:v>
                </c:pt>
                <c:pt idx="17">
                  <c:v>1.9756935507587281E-2</c:v>
                </c:pt>
                <c:pt idx="18">
                  <c:v>2.1588722481159395E-2</c:v>
                </c:pt>
                <c:pt idx="19">
                  <c:v>2.3490742219948735E-2</c:v>
                </c:pt>
                <c:pt idx="20">
                  <c:v>2.4621895930434734E-2</c:v>
                </c:pt>
                <c:pt idx="21">
                  <c:v>2.525399081739127E-2</c:v>
                </c:pt>
                <c:pt idx="22">
                  <c:v>2.5886085704347805E-2</c:v>
                </c:pt>
                <c:pt idx="23">
                  <c:v>2.6518180591304341E-2</c:v>
                </c:pt>
                <c:pt idx="24">
                  <c:v>2.7150275478260877E-2</c:v>
                </c:pt>
                <c:pt idx="25">
                  <c:v>2.7782370365217357E-2</c:v>
                </c:pt>
                <c:pt idx="26">
                  <c:v>2.8414465252173893E-2</c:v>
                </c:pt>
                <c:pt idx="27">
                  <c:v>2.9046560139130428E-2</c:v>
                </c:pt>
                <c:pt idx="28">
                  <c:v>2.9678655026086964E-2</c:v>
                </c:pt>
                <c:pt idx="29">
                  <c:v>3.0310749913043444E-2</c:v>
                </c:pt>
              </c:numCache>
            </c:numRef>
          </c:val>
          <c:extLst>
            <c:ext xmlns:c16="http://schemas.microsoft.com/office/drawing/2014/chart" uri="{C3380CC4-5D6E-409C-BE32-E72D297353CC}">
              <c16:uniqueId val="{00000006-2DA7-45D5-91E0-B793E0A670B2}"/>
            </c:ext>
          </c:extLst>
        </c:ser>
        <c:ser>
          <c:idx val="7"/>
          <c:order val="7"/>
          <c:tx>
            <c:strRef>
              <c:f>'Stress calculations'!$EK$10</c:f>
              <c:strCache>
                <c:ptCount val="1"/>
                <c:pt idx="0">
                  <c:v>ICE fuel efficiency@0%BEV</c:v>
                </c:pt>
              </c:strCache>
            </c:strRef>
          </c:tx>
          <c:spPr>
            <a:solidFill>
              <a:schemeClr val="accent1">
                <a:lumMod val="20000"/>
                <a:lumOff val="8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calculations'!$EK$11:$EK$40</c:f>
              <c:numCache>
                <c:formatCode>0.0%</c:formatCode>
                <c:ptCount val="30"/>
                <c:pt idx="0">
                  <c:v>4.99058823529408E-3</c:v>
                </c:pt>
                <c:pt idx="1">
                  <c:v>9.9811764705882711E-3</c:v>
                </c:pt>
                <c:pt idx="2">
                  <c:v>1.4971764705882351E-2</c:v>
                </c:pt>
                <c:pt idx="3">
                  <c:v>1.9962352941176431E-2</c:v>
                </c:pt>
                <c:pt idx="4">
                  <c:v>2.4952941176470622E-2</c:v>
                </c:pt>
                <c:pt idx="5">
                  <c:v>2.9943529411764702E-2</c:v>
                </c:pt>
                <c:pt idx="6">
                  <c:v>3.4934117647058782E-2</c:v>
                </c:pt>
                <c:pt idx="7">
                  <c:v>3.9924705882352973E-2</c:v>
                </c:pt>
                <c:pt idx="8">
                  <c:v>4.4915294117647053E-2</c:v>
                </c:pt>
                <c:pt idx="9">
                  <c:v>4.9905882352941133E-2</c:v>
                </c:pt>
                <c:pt idx="10">
                  <c:v>5.4896470588235213E-2</c:v>
                </c:pt>
                <c:pt idx="11">
                  <c:v>5.9887058823529404E-2</c:v>
                </c:pt>
                <c:pt idx="12">
                  <c:v>6.4877647058823484E-2</c:v>
                </c:pt>
                <c:pt idx="13">
                  <c:v>6.9868235294117564E-2</c:v>
                </c:pt>
                <c:pt idx="14">
                  <c:v>7.4858823529411755E-2</c:v>
                </c:pt>
                <c:pt idx="15">
                  <c:v>7.9849411764705835E-2</c:v>
                </c:pt>
                <c:pt idx="16">
                  <c:v>8.4840000000000027E-2</c:v>
                </c:pt>
                <c:pt idx="17">
                  <c:v>8.4839999999999915E-2</c:v>
                </c:pt>
                <c:pt idx="18">
                  <c:v>8.4840000000000027E-2</c:v>
                </c:pt>
                <c:pt idx="19">
                  <c:v>8.4839999999999915E-2</c:v>
                </c:pt>
                <c:pt idx="20">
                  <c:v>8.4840000000000027E-2</c:v>
                </c:pt>
                <c:pt idx="21">
                  <c:v>8.4839999999999971E-2</c:v>
                </c:pt>
                <c:pt idx="22">
                  <c:v>8.4839999999999971E-2</c:v>
                </c:pt>
                <c:pt idx="23">
                  <c:v>8.4839999999999971E-2</c:v>
                </c:pt>
                <c:pt idx="24">
                  <c:v>8.4839999999999971E-2</c:v>
                </c:pt>
                <c:pt idx="25">
                  <c:v>8.4839999999999971E-2</c:v>
                </c:pt>
                <c:pt idx="26">
                  <c:v>8.4839999999999971E-2</c:v>
                </c:pt>
                <c:pt idx="27">
                  <c:v>8.4839999999999971E-2</c:v>
                </c:pt>
                <c:pt idx="28">
                  <c:v>8.4839999999999971E-2</c:v>
                </c:pt>
                <c:pt idx="29">
                  <c:v>8.4839999999999971E-2</c:v>
                </c:pt>
              </c:numCache>
            </c:numRef>
          </c:val>
          <c:extLst>
            <c:ext xmlns:c16="http://schemas.microsoft.com/office/drawing/2014/chart" uri="{C3380CC4-5D6E-409C-BE32-E72D297353CC}">
              <c16:uniqueId val="{00000007-2DA7-45D5-91E0-B793E0A670B2}"/>
            </c:ext>
          </c:extLst>
        </c:ser>
        <c:ser>
          <c:idx val="8"/>
          <c:order val="8"/>
          <c:tx>
            <c:strRef>
              <c:f>'Stress calculations'!$EL$10</c:f>
              <c:strCache>
                <c:ptCount val="1"/>
                <c:pt idx="0">
                  <c:v>Car to PT / Carpool</c:v>
                </c:pt>
              </c:strCache>
            </c:strRef>
          </c:tx>
          <c:spPr>
            <a:solidFill>
              <a:schemeClr val="accent6">
                <a:lumMod val="75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calculations'!$EL$11:$EL$40</c:f>
              <c:numCache>
                <c:formatCode>0.0%</c:formatCode>
                <c:ptCount val="30"/>
                <c:pt idx="0">
                  <c:v>8.1751824817518637E-3</c:v>
                </c:pt>
                <c:pt idx="1">
                  <c:v>1.6350364963503616E-2</c:v>
                </c:pt>
                <c:pt idx="2">
                  <c:v>2.452554744525548E-2</c:v>
                </c:pt>
                <c:pt idx="3">
                  <c:v>3.2700729927007344E-2</c:v>
                </c:pt>
                <c:pt idx="4">
                  <c:v>4.0875912408759096E-2</c:v>
                </c:pt>
                <c:pt idx="5">
                  <c:v>4.905109489051096E-2</c:v>
                </c:pt>
                <c:pt idx="6">
                  <c:v>5.7226277372262824E-2</c:v>
                </c:pt>
                <c:pt idx="7">
                  <c:v>6.5401459854014576E-2</c:v>
                </c:pt>
                <c:pt idx="8">
                  <c:v>7.357664233576644E-2</c:v>
                </c:pt>
                <c:pt idx="9">
                  <c:v>8.1751824817518193E-2</c:v>
                </c:pt>
                <c:pt idx="10">
                  <c:v>8.9927007299270056E-2</c:v>
                </c:pt>
                <c:pt idx="11">
                  <c:v>9.810218978102192E-2</c:v>
                </c:pt>
                <c:pt idx="12">
                  <c:v>0.10627737226277367</c:v>
                </c:pt>
                <c:pt idx="13">
                  <c:v>0.11445255474452554</c:v>
                </c:pt>
                <c:pt idx="14">
                  <c:v>0.1226277372262774</c:v>
                </c:pt>
                <c:pt idx="15">
                  <c:v>0.13080291970802915</c:v>
                </c:pt>
                <c:pt idx="16">
                  <c:v>0.13897810218978102</c:v>
                </c:pt>
                <c:pt idx="17">
                  <c:v>0.14715328467153288</c:v>
                </c:pt>
                <c:pt idx="18">
                  <c:v>0.15532846715328463</c:v>
                </c:pt>
                <c:pt idx="19">
                  <c:v>0.1635036496350365</c:v>
                </c:pt>
                <c:pt idx="20">
                  <c:v>0.17167883211678836</c:v>
                </c:pt>
                <c:pt idx="21">
                  <c:v>0.17985401459854022</c:v>
                </c:pt>
                <c:pt idx="22">
                  <c:v>0.18802919708029198</c:v>
                </c:pt>
                <c:pt idx="23">
                  <c:v>0.19620437956204384</c:v>
                </c:pt>
                <c:pt idx="24">
                  <c:v>0.2043795620437957</c:v>
                </c:pt>
                <c:pt idx="25">
                  <c:v>0.21255474452554757</c:v>
                </c:pt>
                <c:pt idx="26">
                  <c:v>0.22072992700729938</c:v>
                </c:pt>
                <c:pt idx="27">
                  <c:v>0.22890510948905118</c:v>
                </c:pt>
                <c:pt idx="28">
                  <c:v>0.23708029197080305</c:v>
                </c:pt>
                <c:pt idx="29">
                  <c:v>0.24525547445255491</c:v>
                </c:pt>
              </c:numCache>
            </c:numRef>
          </c:val>
          <c:extLst>
            <c:ext xmlns:c16="http://schemas.microsoft.com/office/drawing/2014/chart" uri="{C3380CC4-5D6E-409C-BE32-E72D297353CC}">
              <c16:uniqueId val="{00000008-2DA7-45D5-91E0-B793E0A670B2}"/>
            </c:ext>
          </c:extLst>
        </c:ser>
        <c:ser>
          <c:idx val="9"/>
          <c:order val="9"/>
          <c:tx>
            <c:strRef>
              <c:f>'Stress calculations'!$EM$10</c:f>
              <c:strCache>
                <c:ptCount val="1"/>
                <c:pt idx="0">
                  <c:v>Car to Cycle / PT</c:v>
                </c:pt>
              </c:strCache>
            </c:strRef>
          </c:tx>
          <c:spPr>
            <a:solidFill>
              <a:schemeClr val="accent6">
                <a:lumMod val="60000"/>
                <a:lumOff val="40000"/>
              </a:schemeClr>
            </a:solidFill>
            <a:ln>
              <a:noFill/>
            </a:ln>
            <a:effectLst/>
          </c:spPr>
          <c:dLbls>
            <c:dLbl>
              <c:idx val="0"/>
              <c:layout>
                <c:manualLayout>
                  <c:x val="0.10158141983484476"/>
                  <c:y val="1.389645716936826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DA7-45D5-91E0-B793E0A670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calculations'!$EM$11:$EM$40</c:f>
              <c:numCache>
                <c:formatCode>0.0%</c:formatCode>
                <c:ptCount val="30"/>
                <c:pt idx="0">
                  <c:v>3.4793187347932353E-3</c:v>
                </c:pt>
                <c:pt idx="1">
                  <c:v>6.9586374695863595E-3</c:v>
                </c:pt>
                <c:pt idx="2">
                  <c:v>1.0437956204379595E-2</c:v>
                </c:pt>
                <c:pt idx="3">
                  <c:v>1.3917274939172719E-2</c:v>
                </c:pt>
                <c:pt idx="4">
                  <c:v>1.7396593673965954E-2</c:v>
                </c:pt>
                <c:pt idx="5">
                  <c:v>2.0875912408759079E-2</c:v>
                </c:pt>
                <c:pt idx="6">
                  <c:v>2.4355231143552314E-2</c:v>
                </c:pt>
                <c:pt idx="7">
                  <c:v>2.7834549878345549E-2</c:v>
                </c:pt>
                <c:pt idx="8">
                  <c:v>3.1313868613138673E-2</c:v>
                </c:pt>
                <c:pt idx="9">
                  <c:v>3.4793187347931909E-2</c:v>
                </c:pt>
                <c:pt idx="10">
                  <c:v>3.8272506082725033E-2</c:v>
                </c:pt>
                <c:pt idx="11">
                  <c:v>4.1751824817518268E-2</c:v>
                </c:pt>
                <c:pt idx="12">
                  <c:v>4.5231143552311392E-2</c:v>
                </c:pt>
                <c:pt idx="13">
                  <c:v>4.8710462287104628E-2</c:v>
                </c:pt>
                <c:pt idx="14">
                  <c:v>5.2189781021897752E-2</c:v>
                </c:pt>
                <c:pt idx="15">
                  <c:v>5.5669099756690987E-2</c:v>
                </c:pt>
                <c:pt idx="16">
                  <c:v>5.9148418491484223E-2</c:v>
                </c:pt>
                <c:pt idx="17">
                  <c:v>6.2627737226277347E-2</c:v>
                </c:pt>
                <c:pt idx="18">
                  <c:v>6.6107055961070582E-2</c:v>
                </c:pt>
                <c:pt idx="19">
                  <c:v>6.9586374695863706E-2</c:v>
                </c:pt>
                <c:pt idx="20">
                  <c:v>7.3065693430656942E-2</c:v>
                </c:pt>
                <c:pt idx="21">
                  <c:v>7.6545012165450177E-2</c:v>
                </c:pt>
                <c:pt idx="22">
                  <c:v>8.0024330900243301E-2</c:v>
                </c:pt>
                <c:pt idx="23">
                  <c:v>8.3503649635036536E-2</c:v>
                </c:pt>
                <c:pt idx="24">
                  <c:v>8.6982968369829772E-2</c:v>
                </c:pt>
                <c:pt idx="25">
                  <c:v>9.0462287104622896E-2</c:v>
                </c:pt>
                <c:pt idx="26">
                  <c:v>9.3941605839416131E-2</c:v>
                </c:pt>
                <c:pt idx="27">
                  <c:v>9.7420924574209256E-2</c:v>
                </c:pt>
                <c:pt idx="28">
                  <c:v>0.10090024330900249</c:v>
                </c:pt>
                <c:pt idx="29">
                  <c:v>0.10437956204379573</c:v>
                </c:pt>
              </c:numCache>
            </c:numRef>
          </c:val>
          <c:extLst>
            <c:ext xmlns:c16="http://schemas.microsoft.com/office/drawing/2014/chart" uri="{C3380CC4-5D6E-409C-BE32-E72D297353CC}">
              <c16:uniqueId val="{0000000A-2DA7-45D5-91E0-B793E0A670B2}"/>
            </c:ext>
          </c:extLst>
        </c:ser>
        <c:ser>
          <c:idx val="10"/>
          <c:order val="10"/>
          <c:tx>
            <c:strRef>
              <c:f>'Stress calculations'!$EN$10</c:f>
              <c:strCache>
                <c:ptCount val="1"/>
                <c:pt idx="0">
                  <c:v>Car to Walk / Cycle</c:v>
                </c:pt>
              </c:strCache>
            </c:strRef>
          </c:tx>
          <c:spPr>
            <a:solidFill>
              <a:schemeClr val="accent6">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calculations'!$EN$11:$EN$40</c:f>
              <c:numCache>
                <c:formatCode>0.0%</c:formatCode>
                <c:ptCount val="30"/>
                <c:pt idx="0">
                  <c:v>1.6788321167883202E-3</c:v>
                </c:pt>
                <c:pt idx="1">
                  <c:v>3.3576642335766405E-3</c:v>
                </c:pt>
                <c:pt idx="2">
                  <c:v>5.0364963503649607E-3</c:v>
                </c:pt>
                <c:pt idx="3">
                  <c:v>6.7153284671532809E-3</c:v>
                </c:pt>
                <c:pt idx="4">
                  <c:v>8.3941605839416011E-3</c:v>
                </c:pt>
                <c:pt idx="5">
                  <c:v>1.0072992700729921E-2</c:v>
                </c:pt>
                <c:pt idx="6">
                  <c:v>1.1751824817518242E-2</c:v>
                </c:pt>
                <c:pt idx="7">
                  <c:v>1.3430656934306562E-2</c:v>
                </c:pt>
                <c:pt idx="8">
                  <c:v>1.5109489051094882E-2</c:v>
                </c:pt>
                <c:pt idx="9">
                  <c:v>1.6788321167883202E-2</c:v>
                </c:pt>
                <c:pt idx="10">
                  <c:v>1.8467153284671523E-2</c:v>
                </c:pt>
                <c:pt idx="11">
                  <c:v>2.0145985401459843E-2</c:v>
                </c:pt>
                <c:pt idx="12">
                  <c:v>2.1824817518248163E-2</c:v>
                </c:pt>
                <c:pt idx="13">
                  <c:v>2.3503649635036483E-2</c:v>
                </c:pt>
                <c:pt idx="14">
                  <c:v>2.5182481751824803E-2</c:v>
                </c:pt>
                <c:pt idx="15">
                  <c:v>2.6861313868613124E-2</c:v>
                </c:pt>
                <c:pt idx="16">
                  <c:v>2.8540145985401444E-2</c:v>
                </c:pt>
                <c:pt idx="17">
                  <c:v>3.0218978102189764E-2</c:v>
                </c:pt>
                <c:pt idx="18">
                  <c:v>3.1897810218978084E-2</c:v>
                </c:pt>
                <c:pt idx="19">
                  <c:v>3.3576642335766405E-2</c:v>
                </c:pt>
                <c:pt idx="20">
                  <c:v>3.5255474452554725E-2</c:v>
                </c:pt>
                <c:pt idx="21">
                  <c:v>3.6934306569343045E-2</c:v>
                </c:pt>
                <c:pt idx="22">
                  <c:v>3.8613138686131365E-2</c:v>
                </c:pt>
                <c:pt idx="23">
                  <c:v>4.0291970802919685E-2</c:v>
                </c:pt>
                <c:pt idx="24">
                  <c:v>4.1970802919708006E-2</c:v>
                </c:pt>
                <c:pt idx="25">
                  <c:v>4.3649635036496326E-2</c:v>
                </c:pt>
                <c:pt idx="26">
                  <c:v>4.5328467153284646E-2</c:v>
                </c:pt>
                <c:pt idx="27">
                  <c:v>4.7007299270072966E-2</c:v>
                </c:pt>
                <c:pt idx="28">
                  <c:v>4.8686131386861287E-2</c:v>
                </c:pt>
                <c:pt idx="29">
                  <c:v>5.0364963503649607E-2</c:v>
                </c:pt>
              </c:numCache>
            </c:numRef>
          </c:val>
          <c:extLst>
            <c:ext xmlns:c16="http://schemas.microsoft.com/office/drawing/2014/chart" uri="{C3380CC4-5D6E-409C-BE32-E72D297353CC}">
              <c16:uniqueId val="{0000000B-2DA7-45D5-91E0-B793E0A670B2}"/>
            </c:ext>
          </c:extLst>
        </c:ser>
        <c:ser>
          <c:idx val="11"/>
          <c:order val="11"/>
          <c:tx>
            <c:strRef>
              <c:f>'Stress calculations'!$EO$10</c:f>
              <c:strCache>
                <c:ptCount val="1"/>
                <c:pt idx="0">
                  <c:v>Localisation</c:v>
                </c:pt>
              </c:strCache>
            </c:strRef>
          </c:tx>
          <c:spPr>
            <a:solidFill>
              <a:schemeClr val="accent2"/>
            </a:solidFill>
            <a:ln>
              <a:noFill/>
            </a:ln>
            <a:effectLst/>
          </c:spPr>
          <c:dLbls>
            <c:dLbl>
              <c:idx val="0"/>
              <c:layout>
                <c:manualLayout>
                  <c:x val="0.26616610367873317"/>
                  <c:y val="1.621253336426296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2DA7-45D5-91E0-B793E0A670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calculations'!$EO$11:$EO$40</c:f>
              <c:numCache>
                <c:formatCode>0.0%</c:formatCode>
                <c:ptCount val="30"/>
                <c:pt idx="0">
                  <c:v>0</c:v>
                </c:pt>
                <c:pt idx="1">
                  <c:v>0</c:v>
                </c:pt>
                <c:pt idx="2">
                  <c:v>0</c:v>
                </c:pt>
                <c:pt idx="3">
                  <c:v>0</c:v>
                </c:pt>
                <c:pt idx="4">
                  <c:v>0</c:v>
                </c:pt>
                <c:pt idx="5">
                  <c:v>0</c:v>
                </c:pt>
                <c:pt idx="6">
                  <c:v>0</c:v>
                </c:pt>
                <c:pt idx="7">
                  <c:v>0</c:v>
                </c:pt>
                <c:pt idx="8">
                  <c:v>0</c:v>
                </c:pt>
                <c:pt idx="9">
                  <c:v>3.2142857142857251E-3</c:v>
                </c:pt>
                <c:pt idx="10">
                  <c:v>6.4285714285714501E-3</c:v>
                </c:pt>
                <c:pt idx="11">
                  <c:v>9.6428571428571752E-3</c:v>
                </c:pt>
                <c:pt idx="12">
                  <c:v>1.28571428571429E-2</c:v>
                </c:pt>
                <c:pt idx="13">
                  <c:v>1.6071428571428625E-2</c:v>
                </c:pt>
                <c:pt idx="14">
                  <c:v>1.9285714285714239E-2</c:v>
                </c:pt>
                <c:pt idx="15">
                  <c:v>2.2499999999999964E-2</c:v>
                </c:pt>
                <c:pt idx="16">
                  <c:v>2.571428571428569E-2</c:v>
                </c:pt>
                <c:pt idx="17">
                  <c:v>2.8928571428571415E-2</c:v>
                </c:pt>
                <c:pt idx="18">
                  <c:v>3.214285714285714E-2</c:v>
                </c:pt>
                <c:pt idx="19">
                  <c:v>3.5357142857142865E-2</c:v>
                </c:pt>
                <c:pt idx="20">
                  <c:v>3.857142857142859E-2</c:v>
                </c:pt>
                <c:pt idx="21">
                  <c:v>4.1785714285714315E-2</c:v>
                </c:pt>
                <c:pt idx="22">
                  <c:v>4.500000000000004E-2</c:v>
                </c:pt>
                <c:pt idx="23">
                  <c:v>4.8214285714285765E-2</c:v>
                </c:pt>
                <c:pt idx="24">
                  <c:v>5.1428571428571379E-2</c:v>
                </c:pt>
                <c:pt idx="25">
                  <c:v>5.4642857142857104E-2</c:v>
                </c:pt>
                <c:pt idx="26">
                  <c:v>5.7857142857142829E-2</c:v>
                </c:pt>
                <c:pt idx="27">
                  <c:v>6.1071428571428554E-2</c:v>
                </c:pt>
                <c:pt idx="28">
                  <c:v>6.4285714285714279E-2</c:v>
                </c:pt>
                <c:pt idx="29">
                  <c:v>6.7500000000000004E-2</c:v>
                </c:pt>
              </c:numCache>
            </c:numRef>
          </c:val>
          <c:extLst>
            <c:ext xmlns:c16="http://schemas.microsoft.com/office/drawing/2014/chart" uri="{C3380CC4-5D6E-409C-BE32-E72D297353CC}">
              <c16:uniqueId val="{0000000D-2DA7-45D5-91E0-B793E0A670B2}"/>
            </c:ext>
          </c:extLst>
        </c:ser>
        <c:ser>
          <c:idx val="12"/>
          <c:order val="12"/>
          <c:tx>
            <c:strRef>
              <c:f>'Stress calculations'!$EP$10</c:f>
              <c:strCache>
                <c:ptCount val="1"/>
                <c:pt idx="0">
                  <c:v>Home delivery</c:v>
                </c:pt>
              </c:strCache>
            </c:strRef>
          </c:tx>
          <c:spPr>
            <a:solidFill>
              <a:schemeClr val="accent2">
                <a:lumMod val="60000"/>
                <a:lumOff val="40000"/>
              </a:schemeClr>
            </a:solidFill>
            <a:ln>
              <a:noFill/>
            </a:ln>
            <a:effectLst/>
          </c:spPr>
          <c:dLbls>
            <c:dLbl>
              <c:idx val="0"/>
              <c:layout>
                <c:manualLayout>
                  <c:x val="0.20316780845782267"/>
                  <c:y val="2.334860119939920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DA7-45D5-91E0-B793E0A670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calculations'!$EP$11:$EP$40</c:f>
              <c:numCache>
                <c:formatCode>0.0%</c:formatCode>
                <c:ptCount val="30"/>
                <c:pt idx="0">
                  <c:v>0</c:v>
                </c:pt>
                <c:pt idx="1">
                  <c:v>0</c:v>
                </c:pt>
                <c:pt idx="2">
                  <c:v>0</c:v>
                </c:pt>
                <c:pt idx="3">
                  <c:v>0</c:v>
                </c:pt>
                <c:pt idx="4">
                  <c:v>8.6538461538465672E-4</c:v>
                </c:pt>
                <c:pt idx="5">
                  <c:v>1.7307692307692024E-3</c:v>
                </c:pt>
                <c:pt idx="6">
                  <c:v>2.5961538461538591E-3</c:v>
                </c:pt>
                <c:pt idx="7">
                  <c:v>3.4615384615385159E-3</c:v>
                </c:pt>
                <c:pt idx="8">
                  <c:v>4.3269230769230616E-3</c:v>
                </c:pt>
                <c:pt idx="9">
                  <c:v>5.1923076923077183E-3</c:v>
                </c:pt>
                <c:pt idx="10">
                  <c:v>6.057692307692264E-3</c:v>
                </c:pt>
                <c:pt idx="11">
                  <c:v>6.9230769230769207E-3</c:v>
                </c:pt>
                <c:pt idx="12">
                  <c:v>7.7884615384615774E-3</c:v>
                </c:pt>
                <c:pt idx="13">
                  <c:v>8.6538461538461231E-3</c:v>
                </c:pt>
                <c:pt idx="14">
                  <c:v>9.5192307692307798E-3</c:v>
                </c:pt>
                <c:pt idx="15">
                  <c:v>1.0384615384615437E-2</c:v>
                </c:pt>
                <c:pt idx="16">
                  <c:v>1.1249999999999982E-2</c:v>
                </c:pt>
                <c:pt idx="17">
                  <c:v>1.2115384615384639E-2</c:v>
                </c:pt>
                <c:pt idx="18">
                  <c:v>1.2980769230769185E-2</c:v>
                </c:pt>
                <c:pt idx="19">
                  <c:v>1.3846153846153841E-2</c:v>
                </c:pt>
                <c:pt idx="20">
                  <c:v>1.4711538461538498E-2</c:v>
                </c:pt>
                <c:pt idx="21">
                  <c:v>1.5576923076923044E-2</c:v>
                </c:pt>
                <c:pt idx="22">
                  <c:v>1.6442307692307701E-2</c:v>
                </c:pt>
                <c:pt idx="23">
                  <c:v>1.7307692307692357E-2</c:v>
                </c:pt>
                <c:pt idx="24">
                  <c:v>1.8173076923076903E-2</c:v>
                </c:pt>
                <c:pt idx="25">
                  <c:v>1.903846153846156E-2</c:v>
                </c:pt>
                <c:pt idx="26">
                  <c:v>1.9903846153846105E-2</c:v>
                </c:pt>
                <c:pt idx="27">
                  <c:v>2.0769230769230762E-2</c:v>
                </c:pt>
                <c:pt idx="28">
                  <c:v>2.1634615384615419E-2</c:v>
                </c:pt>
                <c:pt idx="29">
                  <c:v>2.2499999999999964E-2</c:v>
                </c:pt>
              </c:numCache>
            </c:numRef>
          </c:val>
          <c:extLst>
            <c:ext xmlns:c16="http://schemas.microsoft.com/office/drawing/2014/chart" uri="{C3380CC4-5D6E-409C-BE32-E72D297353CC}">
              <c16:uniqueId val="{0000000F-2DA7-45D5-91E0-B793E0A670B2}"/>
            </c:ext>
          </c:extLst>
        </c:ser>
        <c:ser>
          <c:idx val="13"/>
          <c:order val="13"/>
          <c:tx>
            <c:strRef>
              <c:f>'Stress calculations'!$EQ$10</c:f>
              <c:strCache>
                <c:ptCount val="1"/>
                <c:pt idx="0">
                  <c:v>Online / Teleservices</c:v>
                </c:pt>
              </c:strCache>
            </c:strRef>
          </c:tx>
          <c:spPr>
            <a:solidFill>
              <a:schemeClr val="accent2">
                <a:lumMod val="40000"/>
                <a:lumOff val="60000"/>
              </a:schemeClr>
            </a:solidFill>
            <a:ln>
              <a:noFill/>
            </a:ln>
            <a:effectLst/>
          </c:spPr>
          <c:dLbls>
            <c:dLbl>
              <c:idx val="0"/>
              <c:layout>
                <c:manualLayout>
                  <c:x val="9.0710573828819113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2DA7-45D5-91E0-B793E0A670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calculations'!$EQ$11:$EQ$40</c:f>
              <c:numCache>
                <c:formatCode>0.0%</c:formatCode>
                <c:ptCount val="30"/>
                <c:pt idx="0">
                  <c:v>0</c:v>
                </c:pt>
                <c:pt idx="1">
                  <c:v>0</c:v>
                </c:pt>
                <c:pt idx="2">
                  <c:v>2.4999999999997247E-4</c:v>
                </c:pt>
                <c:pt idx="3">
                  <c:v>4.9999999999994493E-4</c:v>
                </c:pt>
                <c:pt idx="4">
                  <c:v>7.5000000000002842E-4</c:v>
                </c:pt>
                <c:pt idx="5">
                  <c:v>1.0000000000000009E-3</c:v>
                </c:pt>
                <c:pt idx="6">
                  <c:v>1.2499999999999734E-3</c:v>
                </c:pt>
                <c:pt idx="7">
                  <c:v>1.4999999999999458E-3</c:v>
                </c:pt>
                <c:pt idx="8">
                  <c:v>1.7500000000000293E-3</c:v>
                </c:pt>
                <c:pt idx="9">
                  <c:v>2.0000000000000018E-3</c:v>
                </c:pt>
                <c:pt idx="10">
                  <c:v>2.2499999999999742E-3</c:v>
                </c:pt>
                <c:pt idx="11">
                  <c:v>2.4999999999999467E-3</c:v>
                </c:pt>
                <c:pt idx="12">
                  <c:v>2.7500000000000302E-3</c:v>
                </c:pt>
                <c:pt idx="13">
                  <c:v>3.0000000000000027E-3</c:v>
                </c:pt>
                <c:pt idx="14">
                  <c:v>3.2499999999999751E-3</c:v>
                </c:pt>
                <c:pt idx="15">
                  <c:v>3.4999999999999476E-3</c:v>
                </c:pt>
                <c:pt idx="16">
                  <c:v>3.7500000000000311E-3</c:v>
                </c:pt>
                <c:pt idx="17">
                  <c:v>4.0000000000000036E-3</c:v>
                </c:pt>
                <c:pt idx="18">
                  <c:v>4.249999999999976E-3</c:v>
                </c:pt>
                <c:pt idx="19">
                  <c:v>4.4999999999999485E-3</c:v>
                </c:pt>
                <c:pt idx="20">
                  <c:v>4.750000000000032E-3</c:v>
                </c:pt>
                <c:pt idx="21">
                  <c:v>5.0000000000000044E-3</c:v>
                </c:pt>
                <c:pt idx="22">
                  <c:v>5.2499999999999769E-3</c:v>
                </c:pt>
                <c:pt idx="23">
                  <c:v>5.4999999999999494E-3</c:v>
                </c:pt>
                <c:pt idx="24">
                  <c:v>5.7500000000000329E-3</c:v>
                </c:pt>
                <c:pt idx="25">
                  <c:v>6.0000000000000053E-3</c:v>
                </c:pt>
                <c:pt idx="26">
                  <c:v>6.2499999999999778E-3</c:v>
                </c:pt>
                <c:pt idx="27">
                  <c:v>6.4999999999999503E-3</c:v>
                </c:pt>
                <c:pt idx="28">
                  <c:v>6.7500000000000338E-3</c:v>
                </c:pt>
                <c:pt idx="29">
                  <c:v>7.0000000000000062E-3</c:v>
                </c:pt>
              </c:numCache>
            </c:numRef>
          </c:val>
          <c:extLst>
            <c:ext xmlns:c16="http://schemas.microsoft.com/office/drawing/2014/chart" uri="{C3380CC4-5D6E-409C-BE32-E72D297353CC}">
              <c16:uniqueId val="{00000011-2DA7-45D5-91E0-B793E0A670B2}"/>
            </c:ext>
          </c:extLst>
        </c:ser>
        <c:ser>
          <c:idx val="14"/>
          <c:order val="14"/>
          <c:tx>
            <c:strRef>
              <c:f>'Stress calculations'!$ER$10</c:f>
              <c:strCache>
                <c:ptCount val="1"/>
                <c:pt idx="0">
                  <c:v>Work from Home</c:v>
                </c:pt>
              </c:strCache>
            </c:strRef>
          </c:tx>
          <c:spPr>
            <a:solidFill>
              <a:schemeClr val="accent2">
                <a:lumMod val="20000"/>
                <a:lumOff val="80000"/>
              </a:schemeClr>
            </a:solidFill>
            <a:ln>
              <a:noFill/>
            </a:ln>
            <a:effectLst/>
          </c:spPr>
          <c:dLbls>
            <c:dLbl>
              <c:idx val="0"/>
              <c:layout>
                <c:manualLayout>
                  <c:x val="-1.3949084949189238E-2"/>
                  <c:y val="-6.9294446596389258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2DA7-45D5-91E0-B793E0A670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'Stress calculations'!$ER$11:$ER$40</c:f>
              <c:numCache>
                <c:formatCode>0.0%</c:formatCode>
                <c:ptCount val="30"/>
                <c:pt idx="0">
                  <c:v>9.5999999999996088E-4</c:v>
                </c:pt>
                <c:pt idx="1">
                  <c:v>1.9200000000000328E-3</c:v>
                </c:pt>
                <c:pt idx="2">
                  <c:v>2.8799999999999937E-3</c:v>
                </c:pt>
                <c:pt idx="3">
                  <c:v>3.8399999999999546E-3</c:v>
                </c:pt>
                <c:pt idx="4">
                  <c:v>4.8000000000000265E-3</c:v>
                </c:pt>
                <c:pt idx="5">
                  <c:v>5.7599999999999874E-3</c:v>
                </c:pt>
                <c:pt idx="6">
                  <c:v>6.7199999999999482E-3</c:v>
                </c:pt>
                <c:pt idx="7">
                  <c:v>7.6800000000000201E-3</c:v>
                </c:pt>
                <c:pt idx="8">
                  <c:v>8.639999999999981E-3</c:v>
                </c:pt>
                <c:pt idx="9">
                  <c:v>9.6000000000000529E-3</c:v>
                </c:pt>
                <c:pt idx="10">
                  <c:v>1.0560000000000014E-2</c:v>
                </c:pt>
                <c:pt idx="11">
                  <c:v>1.1519999999999975E-2</c:v>
                </c:pt>
                <c:pt idx="12">
                  <c:v>1.2480000000000047E-2</c:v>
                </c:pt>
                <c:pt idx="13">
                  <c:v>1.3440000000000007E-2</c:v>
                </c:pt>
                <c:pt idx="14">
                  <c:v>1.4399999999999968E-2</c:v>
                </c:pt>
                <c:pt idx="15">
                  <c:v>1.536000000000004E-2</c:v>
                </c:pt>
                <c:pt idx="16">
                  <c:v>1.6320000000000001E-2</c:v>
                </c:pt>
                <c:pt idx="17">
                  <c:v>1.7279999999999962E-2</c:v>
                </c:pt>
                <c:pt idx="18">
                  <c:v>1.8240000000000034E-2</c:v>
                </c:pt>
                <c:pt idx="19">
                  <c:v>1.9199999999999995E-2</c:v>
                </c:pt>
                <c:pt idx="20">
                  <c:v>2.0159999999999956E-2</c:v>
                </c:pt>
                <c:pt idx="21">
                  <c:v>2.1120000000000028E-2</c:v>
                </c:pt>
                <c:pt idx="22">
                  <c:v>2.2079999999999989E-2</c:v>
                </c:pt>
                <c:pt idx="23">
                  <c:v>2.3039999999999949E-2</c:v>
                </c:pt>
                <c:pt idx="24">
                  <c:v>2.4000000000000021E-2</c:v>
                </c:pt>
                <c:pt idx="25">
                  <c:v>2.4959999999999982E-2</c:v>
                </c:pt>
                <c:pt idx="26">
                  <c:v>2.5919999999999943E-2</c:v>
                </c:pt>
                <c:pt idx="27">
                  <c:v>2.6880000000000015E-2</c:v>
                </c:pt>
                <c:pt idx="28">
                  <c:v>2.7839999999999976E-2</c:v>
                </c:pt>
                <c:pt idx="29">
                  <c:v>2.8799999999999937E-2</c:v>
                </c:pt>
              </c:numCache>
            </c:numRef>
          </c:val>
          <c:extLst>
            <c:ext xmlns:c16="http://schemas.microsoft.com/office/drawing/2014/chart" uri="{C3380CC4-5D6E-409C-BE32-E72D297353CC}">
              <c16:uniqueId val="{00000013-2DA7-45D5-91E0-B793E0A670B2}"/>
            </c:ext>
          </c:extLst>
        </c:ser>
        <c:ser>
          <c:idx val="15"/>
          <c:order val="15"/>
          <c:tx>
            <c:strRef>
              <c:f>'Stress calculations'!$ED$10</c:f>
              <c:strCache>
                <c:ptCount val="1"/>
                <c:pt idx="0">
                  <c:v>1990-2020 change</c:v>
                </c:pt>
              </c:strCache>
            </c:strRef>
          </c:tx>
          <c:spPr>
            <a:solidFill>
              <a:schemeClr val="bg1"/>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'Stress calculations'!$ED$11:$ED$40</c:f>
              <c:numCache>
                <c:formatCode>0.00%</c:formatCode>
                <c:ptCount val="30"/>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numCache>
            </c:numRef>
          </c:val>
          <c:extLst>
            <c:ext xmlns:c16="http://schemas.microsoft.com/office/drawing/2014/chart" uri="{C3380CC4-5D6E-409C-BE32-E72D297353CC}">
              <c16:uniqueId val="{00000014-2DA7-45D5-91E0-B793E0A670B2}"/>
            </c:ext>
          </c:extLst>
        </c:ser>
        <c:dLbls>
          <c:showLegendKey val="0"/>
          <c:showVal val="0"/>
          <c:showCatName val="0"/>
          <c:showSerName val="0"/>
          <c:showPercent val="0"/>
          <c:showBubbleSize val="0"/>
        </c:dLbls>
        <c:axId val="1161073112"/>
        <c:axId val="1161076392"/>
      </c:area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midCat"/>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100%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calculations'!$FA$6</c:f>
              <c:strCache>
                <c:ptCount val="1"/>
                <c:pt idx="0">
                  <c:v>Residual emissions</c:v>
                </c:pt>
              </c:strCache>
            </c:strRef>
          </c:tx>
          <c:spPr>
            <a:solidFill>
              <a:schemeClr val="bg1">
                <a:lumMod val="85000"/>
              </a:schemeClr>
            </a:solidFill>
            <a:ln w="25400">
              <a:noFill/>
            </a:ln>
            <a:effectLst/>
          </c:spPr>
          <c:dLbls>
            <c:dLbl>
              <c:idx val="0"/>
              <c:layout>
                <c:manualLayout>
                  <c:x val="-6.2445424867172666E-2"/>
                  <c:y val="-1.836734989030208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calculations'!$FA$7:$FA$40</c:f>
              <c:numCache>
                <c:formatCode>0%</c:formatCode>
                <c:ptCount val="34"/>
                <c:pt idx="0">
                  <c:v>1</c:v>
                </c:pt>
                <c:pt idx="1">
                  <c:v>0.98333333333333328</c:v>
                </c:pt>
                <c:pt idx="2">
                  <c:v>0.96666666666666656</c:v>
                </c:pt>
                <c:pt idx="3" formatCode="0.00%">
                  <c:v>0.95</c:v>
                </c:pt>
                <c:pt idx="4" formatCode="0.00%">
                  <c:v>0.937254185620915</c:v>
                </c:pt>
                <c:pt idx="5" formatCode="0.00%">
                  <c:v>0.92425125228758165</c:v>
                </c:pt>
                <c:pt idx="6" formatCode="0.00%">
                  <c:v>0.90328772015304348</c:v>
                </c:pt>
                <c:pt idx="7" formatCode="0.00%">
                  <c:v>0.88124531359172487</c:v>
                </c:pt>
                <c:pt idx="8" formatCode="0.00%">
                  <c:v>0.85721575528135163</c:v>
                </c:pt>
                <c:pt idx="9" formatCode="0.00%">
                  <c:v>0.83206769097657296</c:v>
                </c:pt>
                <c:pt idx="10" formatCode="0.00%">
                  <c:v>0.80578707412434469</c:v>
                </c:pt>
                <c:pt idx="11" formatCode="0.00%">
                  <c:v>0.77835985817162379</c:v>
                </c:pt>
                <c:pt idx="12" formatCode="0.00%">
                  <c:v>0.74977199656536708</c:v>
                </c:pt>
                <c:pt idx="13" formatCode="0.00%">
                  <c:v>0.71658087132395876</c:v>
                </c:pt>
                <c:pt idx="14" formatCode="0.00%">
                  <c:v>0.68215815018007042</c:v>
                </c:pt>
                <c:pt idx="15" formatCode="0.00%">
                  <c:v>0.64648978658065803</c:v>
                </c:pt>
                <c:pt idx="16" formatCode="0.00%">
                  <c:v>0.60956173397267865</c:v>
                </c:pt>
                <c:pt idx="17" formatCode="0.00%">
                  <c:v>0.57135994580308869</c:v>
                </c:pt>
                <c:pt idx="18" formatCode="0.00%">
                  <c:v>0.53187037551884464</c:v>
                </c:pt>
                <c:pt idx="19" formatCode="0.00%">
                  <c:v>0.49107897656690236</c:v>
                </c:pt>
                <c:pt idx="20" formatCode="0.00%">
                  <c:v>0.4489717023942188</c:v>
                </c:pt>
                <c:pt idx="21" formatCode="0.00%">
                  <c:v>0.41112396527128059</c:v>
                </c:pt>
                <c:pt idx="22" formatCode="0.00%">
                  <c:v>0.37199880099798477</c:v>
                </c:pt>
                <c:pt idx="23" formatCode="0.00%">
                  <c:v>0.33158216302128807</c:v>
                </c:pt>
                <c:pt idx="24" formatCode="0.00%">
                  <c:v>0.30425280397546084</c:v>
                </c:pt>
                <c:pt idx="25" formatCode="0.00%">
                  <c:v>0.27772205889586643</c:v>
                </c:pt>
                <c:pt idx="26" formatCode="0.00%">
                  <c:v>0.2508587277825044</c:v>
                </c:pt>
                <c:pt idx="27" formatCode="0.00%">
                  <c:v>0.22366281063537496</c:v>
                </c:pt>
                <c:pt idx="28" formatCode="0.00%">
                  <c:v>0.19613430745447769</c:v>
                </c:pt>
                <c:pt idx="29" formatCode="0.00%">
                  <c:v>0.16827321823981312</c:v>
                </c:pt>
                <c:pt idx="30" formatCode="0.00%">
                  <c:v>0.1400795429913807</c:v>
                </c:pt>
                <c:pt idx="31" formatCode="0.00%">
                  <c:v>0.11155328170918088</c:v>
                </c:pt>
                <c:pt idx="32" formatCode="0.00%">
                  <c:v>8.2694434393212779E-2</c:v>
                </c:pt>
                <c:pt idx="33" formatCode="0.00%">
                  <c:v>5.3503001043478049E-2</c:v>
                </c:pt>
              </c:numCache>
            </c:numRef>
          </c:val>
          <c:extLst>
            <c:ext xmlns:c16="http://schemas.microsoft.com/office/drawing/2014/chart" uri="{C3380CC4-5D6E-409C-BE32-E72D297353CC}">
              <c16:uniqueId val="{00000001-6BFE-4E81-9971-FA1FFD3E063C}"/>
            </c:ext>
          </c:extLst>
        </c:ser>
        <c:ser>
          <c:idx val="11"/>
          <c:order val="1"/>
          <c:tx>
            <c:strRef>
              <c:f>'Stress calculations'!$FC$6</c:f>
              <c:strCache>
                <c:ptCount val="1"/>
                <c:pt idx="0">
                  <c:v>100% BEV</c:v>
                </c:pt>
              </c:strCache>
            </c:strRef>
          </c:tx>
          <c:spPr>
            <a:solidFill>
              <a:schemeClr val="accent4">
                <a:lumMod val="60000"/>
                <a:lumOff val="40000"/>
              </a:schemeClr>
            </a:solidFill>
            <a:ln w="25400">
              <a:noFill/>
            </a:ln>
            <a:effectLst/>
          </c:spPr>
          <c:dLbls>
            <c:dLbl>
              <c:idx val="0"/>
              <c:layout>
                <c:manualLayout>
                  <c:x val="8.3260566489563564E-2"/>
                  <c:y val="8.1632666179120381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calculations'!$FC$7:$FC$40</c:f>
              <c:numCache>
                <c:formatCode>0.00%</c:formatCode>
                <c:ptCount val="34"/>
                <c:pt idx="0">
                  <c:v>0</c:v>
                </c:pt>
                <c:pt idx="1">
                  <c:v>0</c:v>
                </c:pt>
                <c:pt idx="2">
                  <c:v>0</c:v>
                </c:pt>
                <c:pt idx="3">
                  <c:v>0</c:v>
                </c:pt>
                <c:pt idx="4" formatCode="0.0%">
                  <c:v>0</c:v>
                </c:pt>
                <c:pt idx="5" formatCode="0.0%">
                  <c:v>0</c:v>
                </c:pt>
                <c:pt idx="6" formatCode="0.0%">
                  <c:v>1.2312639846956522E-2</c:v>
                </c:pt>
                <c:pt idx="7" formatCode="0.0%">
                  <c:v>2.5507285623961356E-2</c:v>
                </c:pt>
                <c:pt idx="8" formatCode="0.0%">
                  <c:v>3.9597983884057969E-2</c:v>
                </c:pt>
                <c:pt idx="9" formatCode="0.0%">
                  <c:v>5.4598781180289858E-2</c:v>
                </c:pt>
                <c:pt idx="10" formatCode="0.0%">
                  <c:v>7.0523724065700483E-2</c:v>
                </c:pt>
                <c:pt idx="11" formatCode="0.0%">
                  <c:v>8.7386859093333311E-2</c:v>
                </c:pt>
                <c:pt idx="12" formatCode="0.0%">
                  <c:v>0.10520223281623187</c:v>
                </c:pt>
                <c:pt idx="13" formatCode="0.0%">
                  <c:v>0.12398389178743961</c:v>
                </c:pt>
                <c:pt idx="14" formatCode="0.0%">
                  <c:v>0.14374588256000004</c:v>
                </c:pt>
                <c:pt idx="15" formatCode="0.0%">
                  <c:v>0.16450225168695659</c:v>
                </c:pt>
                <c:pt idx="16" formatCode="0.0%">
                  <c:v>0.18626704572135269</c:v>
                </c:pt>
                <c:pt idx="17" formatCode="0.0%">
                  <c:v>0.20905431121623186</c:v>
                </c:pt>
                <c:pt idx="18" formatCode="0.0%">
                  <c:v>0.23287809472463764</c:v>
                </c:pt>
                <c:pt idx="19" formatCode="0.0%">
                  <c:v>0.25775244279961351</c:v>
                </c:pt>
                <c:pt idx="20" formatCode="0.0%">
                  <c:v>0.28369140199420295</c:v>
                </c:pt>
                <c:pt idx="21" formatCode="0.0%">
                  <c:v>0.31070901886144942</c:v>
                </c:pt>
                <c:pt idx="22" formatCode="0.0%">
                  <c:v>0.33881933995439611</c:v>
                </c:pt>
                <c:pt idx="23" formatCode="0.0%">
                  <c:v>0.36803641182608687</c:v>
                </c:pt>
                <c:pt idx="24" formatCode="0.0%">
                  <c:v>0.37740721360695656</c:v>
                </c:pt>
                <c:pt idx="25" formatCode="0.0%">
                  <c:v>0.38686229470608702</c:v>
                </c:pt>
                <c:pt idx="26" formatCode="0.0%">
                  <c:v>0.39640165512347836</c:v>
                </c:pt>
                <c:pt idx="27" formatCode="0.0%">
                  <c:v>0.40602529485913041</c:v>
                </c:pt>
                <c:pt idx="28" formatCode="0.0%">
                  <c:v>0.41573321391304358</c:v>
                </c:pt>
                <c:pt idx="29" formatCode="0.0%">
                  <c:v>0.42552541228521734</c:v>
                </c:pt>
                <c:pt idx="30" formatCode="0.0%">
                  <c:v>0.43540188997565221</c:v>
                </c:pt>
                <c:pt idx="31" formatCode="0.0%">
                  <c:v>0.44536264698434791</c:v>
                </c:pt>
                <c:pt idx="32" formatCode="0.0%">
                  <c:v>0.45540768331130449</c:v>
                </c:pt>
                <c:pt idx="33" formatCode="0.0%">
                  <c:v>0.46553699895652173</c:v>
                </c:pt>
              </c:numCache>
            </c:numRef>
          </c:val>
          <c:extLst>
            <c:ext xmlns:c16="http://schemas.microsoft.com/office/drawing/2014/chart" uri="{C3380CC4-5D6E-409C-BE32-E72D297353CC}">
              <c16:uniqueId val="{00000003-6BFE-4E81-9971-FA1FFD3E063C}"/>
            </c:ext>
          </c:extLst>
        </c:ser>
        <c:ser>
          <c:idx val="4"/>
          <c:order val="2"/>
          <c:tx>
            <c:strRef>
              <c:f>'Stress calculations'!$FD$6</c:f>
              <c:strCache>
                <c:ptCount val="1"/>
                <c:pt idx="0">
                  <c:v>ICE fuel efficiency@100%BEV</c:v>
                </c:pt>
              </c:strCache>
            </c:strRef>
          </c:tx>
          <c:spPr>
            <a:solidFill>
              <a:schemeClr val="accent1">
                <a:lumMod val="20000"/>
                <a:lumOff val="80000"/>
              </a:schemeClr>
            </a:solidFill>
            <a:ln w="25400">
              <a:noFill/>
            </a:ln>
            <a:effectLst/>
          </c:spPr>
          <c:dLbls>
            <c:dLbl>
              <c:idx val="0"/>
              <c:layout>
                <c:manualLayout>
                  <c:x val="-3.1458726637808722E-2"/>
                  <c:y val="-1.836734989030216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calculations'!$FD$7:$FD$40</c:f>
              <c:numCache>
                <c:formatCode>0.00%</c:formatCode>
                <c:ptCount val="34"/>
                <c:pt idx="0">
                  <c:v>0</c:v>
                </c:pt>
                <c:pt idx="1">
                  <c:v>0</c:v>
                </c:pt>
                <c:pt idx="2">
                  <c:v>0</c:v>
                </c:pt>
                <c:pt idx="3">
                  <c:v>0</c:v>
                </c:pt>
                <c:pt idx="4" formatCode="0.0%">
                  <c:v>5.0238588235294096E-3</c:v>
                </c:pt>
                <c:pt idx="5" formatCode="0.0%">
                  <c:v>1.0114258823529409E-2</c:v>
                </c:pt>
                <c:pt idx="6" formatCode="0.0%">
                  <c:v>1.0407039999999998E-2</c:v>
                </c:pt>
                <c:pt idx="7" formatCode="0.0%">
                  <c:v>1.0702778562091498E-2</c:v>
                </c:pt>
                <c:pt idx="8" formatCode="0.0%">
                  <c:v>1.1001474509803917E-2</c:v>
                </c:pt>
                <c:pt idx="9" formatCode="0.0%">
                  <c:v>1.1303127843137249E-2</c:v>
                </c:pt>
                <c:pt idx="10" formatCode="0.0%">
                  <c:v>1.1607738562091494E-2</c:v>
                </c:pt>
                <c:pt idx="11" formatCode="0.0%">
                  <c:v>1.1915306666666658E-2</c:v>
                </c:pt>
                <c:pt idx="12" formatCode="0.0%">
                  <c:v>1.2225832156862735E-2</c:v>
                </c:pt>
                <c:pt idx="13" formatCode="0.0%">
                  <c:v>1.2539315032679731E-2</c:v>
                </c:pt>
                <c:pt idx="14" formatCode="0.0%">
                  <c:v>1.2855755294117628E-2</c:v>
                </c:pt>
                <c:pt idx="15" formatCode="0.0%">
                  <c:v>1.3175152941176469E-2</c:v>
                </c:pt>
                <c:pt idx="16" formatCode="0.0%">
                  <c:v>1.3497507973856198E-2</c:v>
                </c:pt>
                <c:pt idx="17" formatCode="0.0%">
                  <c:v>1.3822820392156857E-2</c:v>
                </c:pt>
                <c:pt idx="18" formatCode="0.0%">
                  <c:v>1.4151090196078428E-2</c:v>
                </c:pt>
                <c:pt idx="19" formatCode="0.0%">
                  <c:v>1.4482317385620919E-2</c:v>
                </c:pt>
                <c:pt idx="20" formatCode="0.0%">
                  <c:v>1.4816501960784332E-2</c:v>
                </c:pt>
                <c:pt idx="21" formatCode="0.0%">
                  <c:v>9.5641850980392219E-3</c:v>
                </c:pt>
                <c:pt idx="22" formatCode="0.0%">
                  <c:v>4.2482844444444506E-3</c:v>
                </c:pt>
                <c:pt idx="23" formatCode="0.0%">
                  <c:v>-1.1312000000000227E-3</c:v>
                </c:pt>
                <c:pt idx="24" formatCode="0.0%">
                  <c:v>7.9103390504542397E-18</c:v>
                </c:pt>
                <c:pt idx="25" formatCode="0.0%">
                  <c:v>7.9565983431469556E-18</c:v>
                </c:pt>
                <c:pt idx="26" formatCode="0.0%">
                  <c:v>8.0028576358396715E-18</c:v>
                </c:pt>
                <c:pt idx="27" formatCode="0.0%">
                  <c:v>8.0491169285323844E-18</c:v>
                </c:pt>
                <c:pt idx="28" formatCode="0.0%">
                  <c:v>8.0953762212251003E-18</c:v>
                </c:pt>
                <c:pt idx="29" formatCode="0.0%">
                  <c:v>8.1416355139178131E-18</c:v>
                </c:pt>
                <c:pt idx="30" formatCode="0.0%">
                  <c:v>8.1878948066105291E-18</c:v>
                </c:pt>
                <c:pt idx="31" formatCode="0.0%">
                  <c:v>8.234154099303245E-18</c:v>
                </c:pt>
                <c:pt idx="32" formatCode="0.0%">
                  <c:v>8.2804133919959609E-18</c:v>
                </c:pt>
                <c:pt idx="33" formatCode="0.0%">
                  <c:v>8.3266726846886737E-18</c:v>
                </c:pt>
              </c:numCache>
            </c:numRef>
          </c:val>
          <c:extLst>
            <c:ext xmlns:c16="http://schemas.microsoft.com/office/drawing/2014/chart" uri="{C3380CC4-5D6E-409C-BE32-E72D297353CC}">
              <c16:uniqueId val="{00000005-6BFE-4E81-9971-FA1FFD3E063C}"/>
            </c:ext>
          </c:extLst>
        </c:ser>
        <c:ser>
          <c:idx val="0"/>
          <c:order val="3"/>
          <c:tx>
            <c:strRef>
              <c:f>'Stress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calculations'!$FE$7:$FE$40</c:f>
              <c:numCache>
                <c:formatCode>0.00%</c:formatCode>
                <c:ptCount val="34"/>
                <c:pt idx="0">
                  <c:v>0</c:v>
                </c:pt>
                <c:pt idx="1">
                  <c:v>0</c:v>
                </c:pt>
                <c:pt idx="2">
                  <c:v>0</c:v>
                </c:pt>
                <c:pt idx="3">
                  <c:v>0</c:v>
                </c:pt>
                <c:pt idx="4" formatCode="0.0%">
                  <c:v>8.229683698296875E-3</c:v>
                </c:pt>
                <c:pt idx="5" formatCode="0.0%">
                  <c:v>1.6568369829683665E-2</c:v>
                </c:pt>
                <c:pt idx="6" formatCode="0.0%">
                  <c:v>2.501605839416059E-2</c:v>
                </c:pt>
                <c:pt idx="7" formatCode="0.0%">
                  <c:v>3.3572749391727538E-2</c:v>
                </c:pt>
                <c:pt idx="8" formatCode="0.0%">
                  <c:v>4.2238442822384405E-2</c:v>
                </c:pt>
                <c:pt idx="9" formatCode="0.0%">
                  <c:v>5.1013138686131401E-2</c:v>
                </c:pt>
                <c:pt idx="10" formatCode="0.0%">
                  <c:v>5.9896836982968417E-2</c:v>
                </c:pt>
                <c:pt idx="11" formatCode="0.0%">
                  <c:v>6.8889537712895327E-2</c:v>
                </c:pt>
                <c:pt idx="12" formatCode="0.0%">
                  <c:v>7.7991240875912415E-2</c:v>
                </c:pt>
                <c:pt idx="13" formatCode="0.0%">
                  <c:v>8.7201946472019398E-2</c:v>
                </c:pt>
                <c:pt idx="14" formatCode="0.0%">
                  <c:v>9.6521654501216539E-2</c:v>
                </c:pt>
                <c:pt idx="15" formatCode="0.0%">
                  <c:v>0.1059503649635037</c:v>
                </c:pt>
                <c:pt idx="16" formatCode="0.0%">
                  <c:v>0.11548807785888072</c:v>
                </c:pt>
                <c:pt idx="17" formatCode="0.0%">
                  <c:v>0.12513479318734788</c:v>
                </c:pt>
                <c:pt idx="18" formatCode="0.0%">
                  <c:v>0.13489051094890511</c:v>
                </c:pt>
                <c:pt idx="19" formatCode="0.0%">
                  <c:v>0.14475523114355227</c:v>
                </c:pt>
                <c:pt idx="20" formatCode="0.0%">
                  <c:v>0.15472895377128956</c:v>
                </c:pt>
                <c:pt idx="21" formatCode="0.0%">
                  <c:v>0.16481167883211686</c:v>
                </c:pt>
                <c:pt idx="22" formatCode="0.0%">
                  <c:v>0.17500340632603403</c:v>
                </c:pt>
                <c:pt idx="23" formatCode="0.0%">
                  <c:v>0.18530413625304132</c:v>
                </c:pt>
                <c:pt idx="24" formatCode="0.0%">
                  <c:v>0.19571386861313872</c:v>
                </c:pt>
                <c:pt idx="25" formatCode="0.0%">
                  <c:v>0.20623260340632613</c:v>
                </c:pt>
                <c:pt idx="26" formatCode="0.0%">
                  <c:v>0.21686034063260345</c:v>
                </c:pt>
                <c:pt idx="27" formatCode="0.0%">
                  <c:v>0.22759708029197084</c:v>
                </c:pt>
                <c:pt idx="28" formatCode="0.0%">
                  <c:v>0.23844282238442835</c:v>
                </c:pt>
                <c:pt idx="29" formatCode="0.0%">
                  <c:v>0.24939756690997578</c:v>
                </c:pt>
                <c:pt idx="30" formatCode="0.0%">
                  <c:v>0.26046131386861326</c:v>
                </c:pt>
                <c:pt idx="31" formatCode="0.0%">
                  <c:v>0.27163406326034079</c:v>
                </c:pt>
                <c:pt idx="32" formatCode="0.0%">
                  <c:v>0.28291581508515834</c:v>
                </c:pt>
                <c:pt idx="33" formatCode="0.0%">
                  <c:v>0.29430656934306587</c:v>
                </c:pt>
              </c:numCache>
            </c:numRef>
          </c:val>
          <c:extLst>
            <c:ext xmlns:c16="http://schemas.microsoft.com/office/drawing/2014/chart" uri="{C3380CC4-5D6E-409C-BE32-E72D297353CC}">
              <c16:uniqueId val="{00000007-6BFE-4E81-9971-FA1FFD3E063C}"/>
            </c:ext>
          </c:extLst>
        </c:ser>
        <c:ser>
          <c:idx val="12"/>
          <c:order val="4"/>
          <c:tx>
            <c:strRef>
              <c:f>'Stress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calculations'!$FF$7:$FF$40</c:f>
              <c:numCache>
                <c:formatCode>0.00%</c:formatCode>
                <c:ptCount val="34"/>
                <c:pt idx="0">
                  <c:v>0</c:v>
                </c:pt>
                <c:pt idx="1">
                  <c:v>0</c:v>
                </c:pt>
                <c:pt idx="2">
                  <c:v>0</c:v>
                </c:pt>
                <c:pt idx="3">
                  <c:v>0</c:v>
                </c:pt>
                <c:pt idx="4" formatCode="0.0%">
                  <c:v>3.50251419302519E-3</c:v>
                </c:pt>
                <c:pt idx="5" formatCode="0.0%">
                  <c:v>7.0514193025141784E-3</c:v>
                </c:pt>
                <c:pt idx="6" formatCode="0.0%">
                  <c:v>1.0646715328467187E-2</c:v>
                </c:pt>
                <c:pt idx="7" formatCode="0.0%">
                  <c:v>1.4288402270883991E-2</c:v>
                </c:pt>
                <c:pt idx="8" formatCode="0.0%">
                  <c:v>1.797648012976482E-2</c:v>
                </c:pt>
                <c:pt idx="9" formatCode="0.0%">
                  <c:v>2.1710948905109443E-2</c:v>
                </c:pt>
                <c:pt idx="10" formatCode="0.0%">
                  <c:v>2.5491808596918089E-2</c:v>
                </c:pt>
                <c:pt idx="11" formatCode="0.0%">
                  <c:v>2.9319059205190637E-2</c:v>
                </c:pt>
                <c:pt idx="12" formatCode="0.0%">
                  <c:v>3.3192700729926986E-2</c:v>
                </c:pt>
                <c:pt idx="13" formatCode="0.0%">
                  <c:v>3.7112733171127371E-2</c:v>
                </c:pt>
                <c:pt idx="14" formatCode="0.0%">
                  <c:v>4.1079156528791544E-2</c:v>
                </c:pt>
                <c:pt idx="15" formatCode="0.0%">
                  <c:v>4.509197080291974E-2</c:v>
                </c:pt>
                <c:pt idx="16" formatCode="0.0%">
                  <c:v>4.9151175993511716E-2</c:v>
                </c:pt>
                <c:pt idx="17" formatCode="0.0%">
                  <c:v>5.3256772100567715E-2</c:v>
                </c:pt>
                <c:pt idx="18" formatCode="0.0%">
                  <c:v>5.7408759124087522E-2</c:v>
                </c:pt>
                <c:pt idx="19" formatCode="0.0%">
                  <c:v>6.1607137064071359E-2</c:v>
                </c:pt>
                <c:pt idx="20" formatCode="0.0%">
                  <c:v>6.5851905920519108E-2</c:v>
                </c:pt>
                <c:pt idx="21" formatCode="0.0%">
                  <c:v>7.0143065693430651E-2</c:v>
                </c:pt>
                <c:pt idx="22" formatCode="0.0%">
                  <c:v>7.4480616382806189E-2</c:v>
                </c:pt>
                <c:pt idx="23" formatCode="0.0%">
                  <c:v>7.8864557988645514E-2</c:v>
                </c:pt>
                <c:pt idx="24" formatCode="0.0%">
                  <c:v>8.3294890510948905E-2</c:v>
                </c:pt>
                <c:pt idx="25" formatCode="0.0%">
                  <c:v>8.7771613949716207E-2</c:v>
                </c:pt>
                <c:pt idx="26" formatCode="0.0%">
                  <c:v>9.2294728304947296E-2</c:v>
                </c:pt>
                <c:pt idx="27" formatCode="0.0%">
                  <c:v>9.6864233576642381E-2</c:v>
                </c:pt>
                <c:pt idx="28" formatCode="0.0%">
                  <c:v>0.10148012976480141</c:v>
                </c:pt>
                <c:pt idx="29" formatCode="0.0%">
                  <c:v>0.10614241686942417</c:v>
                </c:pt>
                <c:pt idx="30" formatCode="0.0%">
                  <c:v>0.11085109489051102</c:v>
                </c:pt>
                <c:pt idx="31" formatCode="0.0%">
                  <c:v>0.11560616382806166</c:v>
                </c:pt>
                <c:pt idx="32" formatCode="0.0%">
                  <c:v>0.12040762368207633</c:v>
                </c:pt>
                <c:pt idx="33" formatCode="0.0%">
                  <c:v>0.12525547445255486</c:v>
                </c:pt>
              </c:numCache>
            </c:numRef>
          </c:val>
          <c:extLst>
            <c:ext xmlns:c16="http://schemas.microsoft.com/office/drawing/2014/chart" uri="{C3380CC4-5D6E-409C-BE32-E72D297353CC}">
              <c16:uniqueId val="{00000009-6BFE-4E81-9971-FA1FFD3E063C}"/>
            </c:ext>
          </c:extLst>
        </c:ser>
        <c:ser>
          <c:idx val="7"/>
          <c:order val="5"/>
          <c:tx>
            <c:strRef>
              <c:f>'Stress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calculations'!$FG$7:$FG$40</c:f>
              <c:numCache>
                <c:formatCode>0.00%</c:formatCode>
                <c:ptCount val="34"/>
                <c:pt idx="0">
                  <c:v>0</c:v>
                </c:pt>
                <c:pt idx="1">
                  <c:v>0</c:v>
                </c:pt>
                <c:pt idx="2">
                  <c:v>0</c:v>
                </c:pt>
                <c:pt idx="3">
                  <c:v>0</c:v>
                </c:pt>
                <c:pt idx="4" formatCode="0.0%">
                  <c:v>1.6900243309002421E-3</c:v>
                </c:pt>
                <c:pt idx="5" formatCode="0.0%">
                  <c:v>3.4024330900243294E-3</c:v>
                </c:pt>
                <c:pt idx="6" formatCode="0.0%">
                  <c:v>5.1372262773722597E-3</c:v>
                </c:pt>
                <c:pt idx="7" formatCode="0.0%">
                  <c:v>6.894403892944035E-3</c:v>
                </c:pt>
                <c:pt idx="8" formatCode="0.0%">
                  <c:v>8.6739659367396551E-3</c:v>
                </c:pt>
                <c:pt idx="9" formatCode="0.0%">
                  <c:v>1.0475912408759119E-2</c:v>
                </c:pt>
                <c:pt idx="10" formatCode="0.0%">
                  <c:v>1.2300243309002425E-2</c:v>
                </c:pt>
                <c:pt idx="11" formatCode="0.0%">
                  <c:v>1.4146958637469575E-2</c:v>
                </c:pt>
                <c:pt idx="12" formatCode="0.0%">
                  <c:v>1.6016058394160572E-2</c:v>
                </c:pt>
                <c:pt idx="13" formatCode="0.0%">
                  <c:v>1.7907542579075415E-2</c:v>
                </c:pt>
                <c:pt idx="14" formatCode="0.0%">
                  <c:v>1.9821411192214103E-2</c:v>
                </c:pt>
                <c:pt idx="15" formatCode="0.0%">
                  <c:v>2.1757664233576637E-2</c:v>
                </c:pt>
                <c:pt idx="16" formatCode="0.0%">
                  <c:v>2.3716301703163002E-2</c:v>
                </c:pt>
                <c:pt idx="17" formatCode="0.0%">
                  <c:v>2.5697323600973213E-2</c:v>
                </c:pt>
                <c:pt idx="18" formatCode="0.0%">
                  <c:v>2.770072992700728E-2</c:v>
                </c:pt>
                <c:pt idx="19" formatCode="0.0%">
                  <c:v>2.9726520681265189E-2</c:v>
                </c:pt>
                <c:pt idx="20" formatCode="0.0%">
                  <c:v>3.1774695863746948E-2</c:v>
                </c:pt>
                <c:pt idx="21" formatCode="0.0%">
                  <c:v>3.3845255474452544E-2</c:v>
                </c:pt>
                <c:pt idx="22" formatCode="0.0%">
                  <c:v>3.5938199513381973E-2</c:v>
                </c:pt>
                <c:pt idx="23" formatCode="0.0%">
                  <c:v>3.8053527980535247E-2</c:v>
                </c:pt>
                <c:pt idx="24" formatCode="0.0%">
                  <c:v>4.019124087591238E-2</c:v>
                </c:pt>
                <c:pt idx="25" formatCode="0.0%">
                  <c:v>4.2351338199513359E-2</c:v>
                </c:pt>
                <c:pt idx="26" formatCode="0.0%">
                  <c:v>4.4533819951338184E-2</c:v>
                </c:pt>
                <c:pt idx="27" formatCode="0.0%">
                  <c:v>4.6738686131386833E-2</c:v>
                </c:pt>
                <c:pt idx="28" formatCode="0.0%">
                  <c:v>4.8965936739659342E-2</c:v>
                </c:pt>
                <c:pt idx="29" formatCode="0.0%">
                  <c:v>5.1215571776155683E-2</c:v>
                </c:pt>
                <c:pt idx="30" formatCode="0.0%">
                  <c:v>5.3487591240875883E-2</c:v>
                </c:pt>
                <c:pt idx="31" formatCode="0.0%">
                  <c:v>5.5781995133819921E-2</c:v>
                </c:pt>
                <c:pt idx="32" formatCode="0.0%">
                  <c:v>5.8098783454987812E-2</c:v>
                </c:pt>
                <c:pt idx="33" formatCode="0.0%">
                  <c:v>6.0437956204379528E-2</c:v>
                </c:pt>
              </c:numCache>
            </c:numRef>
          </c:val>
          <c:extLst>
            <c:ext xmlns:c16="http://schemas.microsoft.com/office/drawing/2014/chart" uri="{C3380CC4-5D6E-409C-BE32-E72D297353CC}">
              <c16:uniqueId val="{0000000B-6BFE-4E81-9971-FA1FFD3E063C}"/>
            </c:ext>
          </c:extLst>
        </c:ser>
        <c:ser>
          <c:idx val="5"/>
          <c:order val="6"/>
          <c:tx>
            <c:strRef>
              <c:f>'Stress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3.4285714285714401E-3</c:v>
                </c:pt>
                <c:pt idx="14" formatCode="0.0%">
                  <c:v>6.9000000000000242E-3</c:v>
                </c:pt>
                <c:pt idx="15" formatCode="0.0%">
                  <c:v>1.0414285714285753E-2</c:v>
                </c:pt>
                <c:pt idx="16" formatCode="0.0%">
                  <c:v>1.3971428571428619E-2</c:v>
                </c:pt>
                <c:pt idx="17" formatCode="0.0%">
                  <c:v>1.7571428571428627E-2</c:v>
                </c:pt>
                <c:pt idx="18" formatCode="0.0%">
                  <c:v>2.1214285714285661E-2</c:v>
                </c:pt>
                <c:pt idx="19" formatCode="0.0%">
                  <c:v>2.489999999999996E-2</c:v>
                </c:pt>
                <c:pt idx="20" formatCode="0.0%">
                  <c:v>2.8628571428571406E-2</c:v>
                </c:pt>
                <c:pt idx="21" formatCode="0.0%">
                  <c:v>3.2399999999999991E-2</c:v>
                </c:pt>
                <c:pt idx="22" formatCode="0.0%">
                  <c:v>3.6214285714285713E-2</c:v>
                </c:pt>
                <c:pt idx="23" formatCode="0.0%">
                  <c:v>4.007142857142857E-2</c:v>
                </c:pt>
                <c:pt idx="24" formatCode="0.0%">
                  <c:v>4.3971428571428592E-2</c:v>
                </c:pt>
                <c:pt idx="25" formatCode="0.0%">
                  <c:v>4.791428571428575E-2</c:v>
                </c:pt>
                <c:pt idx="26" formatCode="0.0%">
                  <c:v>5.1900000000000057E-2</c:v>
                </c:pt>
                <c:pt idx="27" formatCode="0.0%">
                  <c:v>5.592857142857148E-2</c:v>
                </c:pt>
                <c:pt idx="28" formatCode="0.0%">
                  <c:v>5.9999999999999949E-2</c:v>
                </c:pt>
                <c:pt idx="29" formatCode="0.0%">
                  <c:v>6.4114285714285651E-2</c:v>
                </c:pt>
                <c:pt idx="30" formatCode="0.0%">
                  <c:v>6.8271428571428538E-2</c:v>
                </c:pt>
                <c:pt idx="31" formatCode="0.0%">
                  <c:v>7.2471428571428562E-2</c:v>
                </c:pt>
                <c:pt idx="32" formatCode="0.0%">
                  <c:v>7.6714285714285721E-2</c:v>
                </c:pt>
                <c:pt idx="33" formatCode="0.0%">
                  <c:v>8.1000000000000003E-2</c:v>
                </c:pt>
              </c:numCache>
            </c:numRef>
          </c:val>
          <c:extLst>
            <c:ext xmlns:c16="http://schemas.microsoft.com/office/drawing/2014/chart" uri="{C3380CC4-5D6E-409C-BE32-E72D297353CC}">
              <c16:uniqueId val="{0000000D-6BFE-4E81-9971-FA1FFD3E063C}"/>
            </c:ext>
          </c:extLst>
        </c:ser>
        <c:ser>
          <c:idx val="9"/>
          <c:order val="7"/>
          <c:tx>
            <c:strRef>
              <c:f>'Stress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8.9423076923081206E-4</c:v>
                </c:pt>
                <c:pt idx="9" formatCode="0.0%">
                  <c:v>1.7999999999999707E-3</c:v>
                </c:pt>
                <c:pt idx="10" formatCode="0.0%">
                  <c:v>2.7173076923077059E-3</c:v>
                </c:pt>
                <c:pt idx="11" formatCode="0.0%">
                  <c:v>3.6461538461539022E-3</c:v>
                </c:pt>
                <c:pt idx="12" formatCode="0.0%">
                  <c:v>4.5865384615384449E-3</c:v>
                </c:pt>
                <c:pt idx="13" formatCode="0.0%">
                  <c:v>5.5384615384615659E-3</c:v>
                </c:pt>
                <c:pt idx="14" formatCode="0.0%">
                  <c:v>6.501923076923031E-3</c:v>
                </c:pt>
                <c:pt idx="15" formatCode="0.0%">
                  <c:v>7.4769230769230763E-3</c:v>
                </c:pt>
                <c:pt idx="16" formatCode="0.0%">
                  <c:v>8.4634615384615811E-3</c:v>
                </c:pt>
                <c:pt idx="17" formatCode="0.0%">
                  <c:v>9.4615384615384258E-3</c:v>
                </c:pt>
                <c:pt idx="18" formatCode="0.0%">
                  <c:v>1.0471153846153856E-2</c:v>
                </c:pt>
                <c:pt idx="19" formatCode="0.0%">
                  <c:v>1.149230769230775E-2</c:v>
                </c:pt>
                <c:pt idx="20" formatCode="0.0%">
                  <c:v>1.2524999999999982E-2</c:v>
                </c:pt>
                <c:pt idx="21" formatCode="0.0%">
                  <c:v>1.35692307692308E-2</c:v>
                </c:pt>
                <c:pt idx="22" formatCode="0.0%">
                  <c:v>1.4624999999999949E-2</c:v>
                </c:pt>
                <c:pt idx="23" formatCode="0.0%">
                  <c:v>1.5692307692307682E-2</c:v>
                </c:pt>
                <c:pt idx="24" formatCode="0.0%">
                  <c:v>1.6771153846153887E-2</c:v>
                </c:pt>
                <c:pt idx="25" formatCode="0.0%">
                  <c:v>1.7861538461538425E-2</c:v>
                </c:pt>
                <c:pt idx="26" formatCode="0.0%">
                  <c:v>1.8963461538461551E-2</c:v>
                </c:pt>
                <c:pt idx="27" formatCode="0.0%">
                  <c:v>2.0076923076923135E-2</c:v>
                </c:pt>
                <c:pt idx="28" formatCode="0.0%">
                  <c:v>2.1201923076923056E-2</c:v>
                </c:pt>
                <c:pt idx="29" formatCode="0.0%">
                  <c:v>2.233846153846156E-2</c:v>
                </c:pt>
                <c:pt idx="30" formatCode="0.0%">
                  <c:v>2.3486538461538402E-2</c:v>
                </c:pt>
                <c:pt idx="31" formatCode="0.0%">
                  <c:v>2.4646153846153838E-2</c:v>
                </c:pt>
                <c:pt idx="32" formatCode="0.0%">
                  <c:v>2.581730769230774E-2</c:v>
                </c:pt>
                <c:pt idx="33" formatCode="0.0%">
                  <c:v>2.6999999999999958E-2</c:v>
                </c:pt>
              </c:numCache>
            </c:numRef>
          </c:val>
          <c:extLst>
            <c:ext xmlns:c16="http://schemas.microsoft.com/office/drawing/2014/chart" uri="{C3380CC4-5D6E-409C-BE32-E72D297353CC}">
              <c16:uniqueId val="{0000000F-6BFE-4E81-9971-FA1FFD3E063C}"/>
            </c:ext>
          </c:extLst>
        </c:ser>
        <c:ser>
          <c:idx val="6"/>
          <c:order val="8"/>
          <c:tx>
            <c:strRef>
              <c:f>'Stress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calculations'!$FJ$7:$FJ$40</c:f>
              <c:numCache>
                <c:formatCode>0.00%</c:formatCode>
                <c:ptCount val="34"/>
                <c:pt idx="0">
                  <c:v>0</c:v>
                </c:pt>
                <c:pt idx="1">
                  <c:v>0</c:v>
                </c:pt>
                <c:pt idx="2">
                  <c:v>0</c:v>
                </c:pt>
                <c:pt idx="3">
                  <c:v>0</c:v>
                </c:pt>
                <c:pt idx="4" formatCode="0.0%">
                  <c:v>0</c:v>
                </c:pt>
                <c:pt idx="5" formatCode="0.0%">
                  <c:v>0</c:v>
                </c:pt>
                <c:pt idx="6" formatCode="0.0%">
                  <c:v>2.5499999999997194E-4</c:v>
                </c:pt>
                <c:pt idx="7" formatCode="0.0%">
                  <c:v>5.1333333333327682E-4</c:v>
                </c:pt>
                <c:pt idx="8" formatCode="0.0%">
                  <c:v>7.7500000000002946E-4</c:v>
                </c:pt>
                <c:pt idx="9" formatCode="0.0%">
                  <c:v>1.040000000000001E-3</c:v>
                </c:pt>
                <c:pt idx="10" formatCode="0.0%">
                  <c:v>1.3083333333333055E-3</c:v>
                </c:pt>
                <c:pt idx="11" formatCode="0.0%">
                  <c:v>1.5799999999999423E-3</c:v>
                </c:pt>
                <c:pt idx="12" formatCode="0.0%">
                  <c:v>1.8550000000000307E-3</c:v>
                </c:pt>
                <c:pt idx="13" formatCode="0.0%">
                  <c:v>2.1333333333333352E-3</c:v>
                </c:pt>
                <c:pt idx="14" formatCode="0.0%">
                  <c:v>2.4149999999999727E-3</c:v>
                </c:pt>
                <c:pt idx="15" formatCode="0.0%">
                  <c:v>2.6999999999999433E-3</c:v>
                </c:pt>
                <c:pt idx="16" formatCode="0.0%">
                  <c:v>2.9883333333333663E-3</c:v>
                </c:pt>
                <c:pt idx="17" formatCode="0.0%">
                  <c:v>3.2800000000000021E-3</c:v>
                </c:pt>
                <c:pt idx="18" formatCode="0.0%">
                  <c:v>3.5749999999999723E-3</c:v>
                </c:pt>
                <c:pt idx="19" formatCode="0.0%">
                  <c:v>3.8733333333332755E-3</c:v>
                </c:pt>
                <c:pt idx="20" formatCode="0.0%">
                  <c:v>4.1750000000000355E-3</c:v>
                </c:pt>
                <c:pt idx="21" formatCode="0.0%">
                  <c:v>4.4800000000000057E-3</c:v>
                </c:pt>
                <c:pt idx="22" formatCode="0.0%">
                  <c:v>4.7883333333333068E-3</c:v>
                </c:pt>
                <c:pt idx="23" formatCode="0.0%">
                  <c:v>5.0999999999999405E-3</c:v>
                </c:pt>
                <c:pt idx="24" formatCode="0.0%">
                  <c:v>5.4150000000000361E-3</c:v>
                </c:pt>
                <c:pt idx="25" formatCode="0.0%">
                  <c:v>5.7333333333333385E-3</c:v>
                </c:pt>
                <c:pt idx="26" formatCode="0.0%">
                  <c:v>6.0549999999999745E-3</c:v>
                </c:pt>
                <c:pt idx="27" formatCode="0.0%">
                  <c:v>6.3799999999999404E-3</c:v>
                </c:pt>
                <c:pt idx="28" formatCode="0.0%">
                  <c:v>6.7083333333333717E-3</c:v>
                </c:pt>
                <c:pt idx="29" formatCode="0.0%">
                  <c:v>7.0400000000000046E-3</c:v>
                </c:pt>
                <c:pt idx="30" formatCode="0.0%">
                  <c:v>7.3749999999999736E-3</c:v>
                </c:pt>
                <c:pt idx="31" formatCode="0.0%">
                  <c:v>7.7133333333332752E-3</c:v>
                </c:pt>
                <c:pt idx="32" formatCode="0.0%">
                  <c:v>8.0550000000000413E-3</c:v>
                </c:pt>
                <c:pt idx="33" formatCode="0.0%">
                  <c:v>8.4000000000000064E-3</c:v>
                </c:pt>
              </c:numCache>
            </c:numRef>
          </c:val>
          <c:extLst>
            <c:ext xmlns:c16="http://schemas.microsoft.com/office/drawing/2014/chart" uri="{C3380CC4-5D6E-409C-BE32-E72D297353CC}">
              <c16:uniqueId val="{00000010-6BFE-4E81-9971-FA1FFD3E063C}"/>
            </c:ext>
          </c:extLst>
        </c:ser>
        <c:ser>
          <c:idx val="3"/>
          <c:order val="9"/>
          <c:tx>
            <c:strRef>
              <c:f>'Stress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calculations'!$FK$7:$FK$40</c:f>
              <c:numCache>
                <c:formatCode>0.00%</c:formatCode>
                <c:ptCount val="34"/>
                <c:pt idx="0">
                  <c:v>0</c:v>
                </c:pt>
                <c:pt idx="1">
                  <c:v>0</c:v>
                </c:pt>
                <c:pt idx="2">
                  <c:v>0</c:v>
                </c:pt>
                <c:pt idx="3">
                  <c:v>0</c:v>
                </c:pt>
                <c:pt idx="4" formatCode="0.0%">
                  <c:v>9.6639999999996061E-4</c:v>
                </c:pt>
                <c:pt idx="5" formatCode="0.0%">
                  <c:v>1.9456000000000334E-3</c:v>
                </c:pt>
                <c:pt idx="6" formatCode="0.0%">
                  <c:v>2.9375999999999938E-3</c:v>
                </c:pt>
                <c:pt idx="7" formatCode="0.0%">
                  <c:v>3.9423999999999536E-3</c:v>
                </c:pt>
                <c:pt idx="8" formatCode="0.0%">
                  <c:v>4.9600000000000278E-3</c:v>
                </c:pt>
                <c:pt idx="9" formatCode="0.0%">
                  <c:v>5.9903999999999869E-3</c:v>
                </c:pt>
                <c:pt idx="10" formatCode="0.0%">
                  <c:v>7.0335999999999455E-3</c:v>
                </c:pt>
                <c:pt idx="11" formatCode="0.0%">
                  <c:v>8.089600000000018E-3</c:v>
                </c:pt>
                <c:pt idx="12" formatCode="0.0%">
                  <c:v>9.158399999999978E-3</c:v>
                </c:pt>
                <c:pt idx="13" formatCode="0.0%">
                  <c:v>1.0240000000000056E-2</c:v>
                </c:pt>
                <c:pt idx="14" formatCode="0.0%">
                  <c:v>1.1334400000000017E-2</c:v>
                </c:pt>
                <c:pt idx="15" formatCode="0.0%">
                  <c:v>1.2441599999999976E-2</c:v>
                </c:pt>
                <c:pt idx="16" formatCode="0.0%">
                  <c:v>1.356160000000005E-2</c:v>
                </c:pt>
                <c:pt idx="17" formatCode="0.0%">
                  <c:v>1.4694400000000005E-2</c:v>
                </c:pt>
                <c:pt idx="18" formatCode="0.0%">
                  <c:v>1.5839999999999962E-2</c:v>
                </c:pt>
                <c:pt idx="19" formatCode="0.0%">
                  <c:v>1.6998400000000045E-2</c:v>
                </c:pt>
                <c:pt idx="20" formatCode="0.0%">
                  <c:v>1.8169600000000004E-2</c:v>
                </c:pt>
                <c:pt idx="21" formatCode="0.0%">
                  <c:v>1.9353599999999964E-2</c:v>
                </c:pt>
                <c:pt idx="22" formatCode="0.0%">
                  <c:v>2.0550400000000038E-2</c:v>
                </c:pt>
                <c:pt idx="23" formatCode="0.0%">
                  <c:v>2.1759999999999988E-2</c:v>
                </c:pt>
                <c:pt idx="24" formatCode="0.0%">
                  <c:v>2.2982399999999948E-2</c:v>
                </c:pt>
                <c:pt idx="25" formatCode="0.0%">
                  <c:v>2.4217600000000034E-2</c:v>
                </c:pt>
                <c:pt idx="26" formatCode="0.0%">
                  <c:v>2.5465599999999991E-2</c:v>
                </c:pt>
                <c:pt idx="27" formatCode="0.0%">
                  <c:v>2.6726399999999938E-2</c:v>
                </c:pt>
                <c:pt idx="28" formatCode="0.0%">
                  <c:v>2.8000000000000028E-2</c:v>
                </c:pt>
                <c:pt idx="29" formatCode="0.0%">
                  <c:v>2.9286399999999973E-2</c:v>
                </c:pt>
                <c:pt idx="30" formatCode="0.0%">
                  <c:v>3.0585599999999932E-2</c:v>
                </c:pt>
                <c:pt idx="31" formatCode="0.0%">
                  <c:v>3.1897600000000019E-2</c:v>
                </c:pt>
                <c:pt idx="32" formatCode="0.0%">
                  <c:v>3.3222399999999978E-2</c:v>
                </c:pt>
                <c:pt idx="33" formatCode="0.0%">
                  <c:v>3.4559999999999924E-2</c:v>
                </c:pt>
              </c:numCache>
            </c:numRef>
          </c:val>
          <c:extLst>
            <c:ext xmlns:c16="http://schemas.microsoft.com/office/drawing/2014/chart" uri="{C3380CC4-5D6E-409C-BE32-E72D297353CC}">
              <c16:uniqueId val="{00000012-6BFE-4E81-9971-FA1FFD3E063C}"/>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7-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8-6BFE-4E81-9971-FA1FFD3E063C}"/>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4-6BFE-4E81-9971-FA1FFD3E063C}"/>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14-6BFE-4E81-9971-FA1FFD3E0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15-6BFE-4E81-9971-FA1FFD3E063C}"/>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16-6BFE-4E81-9971-FA1FFD3E063C}"/>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40%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calculations'!$GT$6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calculations'!$GT$7:$GT$40</c:f>
              <c:numCache>
                <c:formatCode>0%</c:formatCode>
                <c:ptCount val="34"/>
                <c:pt idx="0">
                  <c:v>1</c:v>
                </c:pt>
                <c:pt idx="1">
                  <c:v>0.98333333333333328</c:v>
                </c:pt>
                <c:pt idx="2">
                  <c:v>0.96666666666666656</c:v>
                </c:pt>
                <c:pt idx="3" formatCode="0.00%">
                  <c:v>0.95</c:v>
                </c:pt>
                <c:pt idx="4" formatCode="0.00%">
                  <c:v>0.937254185620915</c:v>
                </c:pt>
                <c:pt idx="5" formatCode="0.00%">
                  <c:v>0.92425125228758165</c:v>
                </c:pt>
                <c:pt idx="6" formatCode="0.00%">
                  <c:v>0.9077907440612174</c:v>
                </c:pt>
                <c:pt idx="7" formatCode="0.00%">
                  <c:v>0.89074285829943511</c:v>
                </c:pt>
                <c:pt idx="8" formatCode="0.00%">
                  <c:v>0.87220774561178638</c:v>
                </c:pt>
                <c:pt idx="9" formatCode="0.00%">
                  <c:v>0.85306247968474691</c:v>
                </c:pt>
                <c:pt idx="10" formatCode="0.00%">
                  <c:v>0.83330144189709832</c:v>
                </c:pt>
                <c:pt idx="11" formatCode="0.00%">
                  <c:v>0.81291901362762375</c:v>
                </c:pt>
                <c:pt idx="12" formatCode="0.00%">
                  <c:v>0.79190957625510616</c:v>
                </c:pt>
                <c:pt idx="13" formatCode="0.00%">
                  <c:v>0.7668389397297557</c:v>
                </c:pt>
                <c:pt idx="14" formatCode="0.00%">
                  <c:v>0.7410871997160704</c:v>
                </c:pt>
                <c:pt idx="15" formatCode="0.00%">
                  <c:v>0.7146487375928321</c:v>
                </c:pt>
                <c:pt idx="16" formatCode="0.00%">
                  <c:v>0.68751793473882361</c:v>
                </c:pt>
                <c:pt idx="17" formatCode="0.00%">
                  <c:v>0.65968917253282777</c:v>
                </c:pt>
                <c:pt idx="18" formatCode="0.00%">
                  <c:v>0.63115683235362718</c:v>
                </c:pt>
                <c:pt idx="19" formatCode="0.00%">
                  <c:v>0.60191529558000378</c:v>
                </c:pt>
                <c:pt idx="20" formatCode="0.00%">
                  <c:v>0.57195894359074073</c:v>
                </c:pt>
                <c:pt idx="21" formatCode="0.00%">
                  <c:v>0.54687161658815031</c:v>
                </c:pt>
                <c:pt idx="22" formatCode="0.00%">
                  <c:v>0.52112477830395587</c:v>
                </c:pt>
                <c:pt idx="23" formatCode="0.00%">
                  <c:v>0.49471281011694024</c:v>
                </c:pt>
                <c:pt idx="24" formatCode="0.00%">
                  <c:v>0.47266657213963481</c:v>
                </c:pt>
                <c:pt idx="25" formatCode="0.00%">
                  <c:v>0.45146951571951865</c:v>
                </c:pt>
                <c:pt idx="26" formatCode="0.00%">
                  <c:v>0.42999044085659144</c:v>
                </c:pt>
                <c:pt idx="27" formatCode="0.00%">
                  <c:v>0.40822934755085316</c:v>
                </c:pt>
                <c:pt idx="28" formatCode="0.00%">
                  <c:v>0.38618623580230382</c:v>
                </c:pt>
                <c:pt idx="29" formatCode="0.00%">
                  <c:v>0.36386110561094354</c:v>
                </c:pt>
                <c:pt idx="30" formatCode="0.00%">
                  <c:v>0.34125395697677208</c:v>
                </c:pt>
                <c:pt idx="31" formatCode="0.00%">
                  <c:v>0.31836478989978956</c:v>
                </c:pt>
                <c:pt idx="32" formatCode="0.00%">
                  <c:v>0.29519360437999553</c:v>
                </c:pt>
                <c:pt idx="33" formatCode="0.00%">
                  <c:v>0.27174040041739111</c:v>
                </c:pt>
              </c:numCache>
            </c:numRef>
          </c:val>
          <c:extLst>
            <c:ext xmlns:c16="http://schemas.microsoft.com/office/drawing/2014/chart" uri="{C3380CC4-5D6E-409C-BE32-E72D297353CC}">
              <c16:uniqueId val="{00000000-EF99-420C-808A-A37873D6A01B}"/>
            </c:ext>
          </c:extLst>
        </c:ser>
        <c:ser>
          <c:idx val="11"/>
          <c:order val="1"/>
          <c:tx>
            <c:strRef>
              <c:f>'Stress calculations'!$GV$6</c:f>
              <c:strCache>
                <c:ptCount val="1"/>
                <c:pt idx="0">
                  <c:v>40%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calculations'!$GV$7:$GV$40</c:f>
              <c:numCache>
                <c:formatCode>0.00%</c:formatCode>
                <c:ptCount val="34"/>
                <c:pt idx="0">
                  <c:v>0</c:v>
                </c:pt>
                <c:pt idx="1">
                  <c:v>0</c:v>
                </c:pt>
                <c:pt idx="2">
                  <c:v>0</c:v>
                </c:pt>
                <c:pt idx="3">
                  <c:v>0</c:v>
                </c:pt>
                <c:pt idx="4" formatCode="0.0%">
                  <c:v>0</c:v>
                </c:pt>
                <c:pt idx="5" formatCode="0.0%">
                  <c:v>0</c:v>
                </c:pt>
                <c:pt idx="6" formatCode="0.0%">
                  <c:v>4.92505593878261E-3</c:v>
                </c:pt>
                <c:pt idx="7" formatCode="0.0%">
                  <c:v>1.0202914249584543E-2</c:v>
                </c:pt>
                <c:pt idx="8" formatCode="0.0%">
                  <c:v>1.5839193553623194E-2</c:v>
                </c:pt>
                <c:pt idx="9" formatCode="0.0%">
                  <c:v>2.1839512472115945E-2</c:v>
                </c:pt>
                <c:pt idx="10" formatCode="0.0%">
                  <c:v>2.8209489626280199E-2</c:v>
                </c:pt>
                <c:pt idx="11" formatCode="0.0%">
                  <c:v>3.4954743637333335E-2</c:v>
                </c:pt>
                <c:pt idx="12" formatCode="0.0%">
                  <c:v>4.2080893126492762E-2</c:v>
                </c:pt>
                <c:pt idx="13" formatCode="0.0%">
                  <c:v>4.9593556714975853E-2</c:v>
                </c:pt>
                <c:pt idx="14" formatCode="0.0%">
                  <c:v>5.7498353024000019E-2</c:v>
                </c:pt>
                <c:pt idx="15" formatCode="0.0%">
                  <c:v>6.5800900674782642E-2</c:v>
                </c:pt>
                <c:pt idx="16" formatCode="0.0%">
                  <c:v>7.4506818288541082E-2</c:v>
                </c:pt>
                <c:pt idx="17" formatCode="0.0%">
                  <c:v>8.3621724486492771E-2</c:v>
                </c:pt>
                <c:pt idx="18" formatCode="0.0%">
                  <c:v>9.3151237889855076E-2</c:v>
                </c:pt>
                <c:pt idx="19" formatCode="0.0%">
                  <c:v>0.10310097711984544</c:v>
                </c:pt>
                <c:pt idx="20" formatCode="0.0%">
                  <c:v>0.1134765607976812</c:v>
                </c:pt>
                <c:pt idx="21" formatCode="0.0%">
                  <c:v>0.12428360754457976</c:v>
                </c:pt>
                <c:pt idx="22" formatCode="0.0%">
                  <c:v>0.13552773598175849</c:v>
                </c:pt>
                <c:pt idx="23" formatCode="0.0%">
                  <c:v>0.14721456473043476</c:v>
                </c:pt>
                <c:pt idx="24" formatCode="0.0%">
                  <c:v>0.15096288544278261</c:v>
                </c:pt>
                <c:pt idx="25" formatCode="0.0%">
                  <c:v>0.15474491788243483</c:v>
                </c:pt>
                <c:pt idx="26" formatCode="0.0%">
                  <c:v>0.15856066204939137</c:v>
                </c:pt>
                <c:pt idx="27" formatCode="0.0%">
                  <c:v>0.16241011794365218</c:v>
                </c:pt>
                <c:pt idx="28" formatCode="0.0%">
                  <c:v>0.16629328556521744</c:v>
                </c:pt>
                <c:pt idx="29" formatCode="0.0%">
                  <c:v>0.17021016491408694</c:v>
                </c:pt>
                <c:pt idx="30" formatCode="0.0%">
                  <c:v>0.1741607559902609</c:v>
                </c:pt>
                <c:pt idx="31" formatCode="0.0%">
                  <c:v>0.17814505879373918</c:v>
                </c:pt>
                <c:pt idx="32" formatCode="0.0%">
                  <c:v>0.18216307332452181</c:v>
                </c:pt>
                <c:pt idx="33" formatCode="0.0%">
                  <c:v>0.18621479958260873</c:v>
                </c:pt>
              </c:numCache>
            </c:numRef>
          </c:val>
          <c:extLst>
            <c:ext xmlns:c16="http://schemas.microsoft.com/office/drawing/2014/chart" uri="{C3380CC4-5D6E-409C-BE32-E72D297353CC}">
              <c16:uniqueId val="{00000001-EF99-420C-808A-A37873D6A01B}"/>
            </c:ext>
          </c:extLst>
        </c:ser>
        <c:ser>
          <c:idx val="4"/>
          <c:order val="2"/>
          <c:tx>
            <c:strRef>
              <c:f>'Stress calculations'!$GW$6</c:f>
              <c:strCache>
                <c:ptCount val="1"/>
                <c:pt idx="0">
                  <c:v>ICE fuel efficiency@40%BEV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calculations'!$GW$7:$GW$40</c:f>
              <c:numCache>
                <c:formatCode>0.00%</c:formatCode>
                <c:ptCount val="34"/>
                <c:pt idx="0">
                  <c:v>0</c:v>
                </c:pt>
                <c:pt idx="1">
                  <c:v>0</c:v>
                </c:pt>
                <c:pt idx="2">
                  <c:v>0</c:v>
                </c:pt>
                <c:pt idx="3">
                  <c:v>0</c:v>
                </c:pt>
                <c:pt idx="4" formatCode="0.0%">
                  <c:v>5.0238588235294096E-3</c:v>
                </c:pt>
                <c:pt idx="5" formatCode="0.0%">
                  <c:v>1.0114258823529409E-2</c:v>
                </c:pt>
                <c:pt idx="6" formatCode="0.0%">
                  <c:v>1.3291599999999995E-2</c:v>
                </c:pt>
                <c:pt idx="7" formatCode="0.0%">
                  <c:v>1.6509605228758162E-2</c:v>
                </c:pt>
                <c:pt idx="8" formatCode="0.0%">
                  <c:v>1.9768274509803913E-2</c:v>
                </c:pt>
                <c:pt idx="9" formatCode="0.0%">
                  <c:v>2.3067607843137244E-2</c:v>
                </c:pt>
                <c:pt idx="10" formatCode="0.0%">
                  <c:v>2.6407605228758159E-2</c:v>
                </c:pt>
                <c:pt idx="11" formatCode="0.0%">
                  <c:v>2.9788266666666646E-2</c:v>
                </c:pt>
                <c:pt idx="12" formatCode="0.0%">
                  <c:v>3.320959215686272E-2</c:v>
                </c:pt>
                <c:pt idx="13" formatCode="0.0%">
                  <c:v>3.6671581699346388E-2</c:v>
                </c:pt>
                <c:pt idx="14" formatCode="0.0%">
                  <c:v>4.0174235294117622E-2</c:v>
                </c:pt>
                <c:pt idx="15" formatCode="0.0%">
                  <c:v>4.3717552941176463E-2</c:v>
                </c:pt>
                <c:pt idx="16" formatCode="0.0%">
                  <c:v>4.7301534640522849E-2</c:v>
                </c:pt>
                <c:pt idx="17" formatCode="0.0%">
                  <c:v>5.0926180392156829E-2</c:v>
                </c:pt>
                <c:pt idx="18" formatCode="0.0%">
                  <c:v>5.459149019607841E-2</c:v>
                </c:pt>
                <c:pt idx="19" formatCode="0.0%">
                  <c:v>5.8297464052287563E-2</c:v>
                </c:pt>
                <c:pt idx="20" formatCode="0.0%">
                  <c:v>6.2044101960784317E-2</c:v>
                </c:pt>
                <c:pt idx="21" formatCode="0.0%">
                  <c:v>6.0241945098039221E-2</c:v>
                </c:pt>
                <c:pt idx="22" formatCode="0.0%">
                  <c:v>5.8413911111111105E-2</c:v>
                </c:pt>
                <c:pt idx="23" formatCode="0.0%">
                  <c:v>5.6559999999999958E-2</c:v>
                </c:pt>
                <c:pt idx="24" formatCode="0.0%">
                  <c:v>5.8030559999999988E-2</c:v>
                </c:pt>
                <c:pt idx="25" formatCode="0.0%">
                  <c:v>5.8369919999999992E-2</c:v>
                </c:pt>
                <c:pt idx="26" formatCode="0.0%">
                  <c:v>5.8709280000000003E-2</c:v>
                </c:pt>
                <c:pt idx="27" formatCode="0.0%">
                  <c:v>5.9048639999999986E-2</c:v>
                </c:pt>
                <c:pt idx="28" formatCode="0.0%">
                  <c:v>5.9387999999999996E-2</c:v>
                </c:pt>
                <c:pt idx="29" formatCode="0.0%">
                  <c:v>5.9727359999999979E-2</c:v>
                </c:pt>
                <c:pt idx="30" formatCode="0.0%">
                  <c:v>6.0066719999999983E-2</c:v>
                </c:pt>
                <c:pt idx="31" formatCode="0.0%">
                  <c:v>6.0406079999999994E-2</c:v>
                </c:pt>
                <c:pt idx="32" formatCode="0.0%">
                  <c:v>6.0745440000000005E-2</c:v>
                </c:pt>
                <c:pt idx="33" formatCode="0.0%">
                  <c:v>6.1084799999999988E-2</c:v>
                </c:pt>
              </c:numCache>
            </c:numRef>
          </c:val>
          <c:extLst>
            <c:ext xmlns:c16="http://schemas.microsoft.com/office/drawing/2014/chart" uri="{C3380CC4-5D6E-409C-BE32-E72D297353CC}">
              <c16:uniqueId val="{00000002-EF99-420C-808A-A37873D6A01B}"/>
            </c:ext>
          </c:extLst>
        </c:ser>
        <c:ser>
          <c:idx val="0"/>
          <c:order val="3"/>
          <c:tx>
            <c:strRef>
              <c:f>'Stress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calculations'!$FE$7:$FE$40</c:f>
              <c:numCache>
                <c:formatCode>0.00%</c:formatCode>
                <c:ptCount val="34"/>
                <c:pt idx="0">
                  <c:v>0</c:v>
                </c:pt>
                <c:pt idx="1">
                  <c:v>0</c:v>
                </c:pt>
                <c:pt idx="2">
                  <c:v>0</c:v>
                </c:pt>
                <c:pt idx="3">
                  <c:v>0</c:v>
                </c:pt>
                <c:pt idx="4" formatCode="0.0%">
                  <c:v>8.229683698296875E-3</c:v>
                </c:pt>
                <c:pt idx="5" formatCode="0.0%">
                  <c:v>1.6568369829683665E-2</c:v>
                </c:pt>
                <c:pt idx="6" formatCode="0.0%">
                  <c:v>2.501605839416059E-2</c:v>
                </c:pt>
                <c:pt idx="7" formatCode="0.0%">
                  <c:v>3.3572749391727538E-2</c:v>
                </c:pt>
                <c:pt idx="8" formatCode="0.0%">
                  <c:v>4.2238442822384405E-2</c:v>
                </c:pt>
                <c:pt idx="9" formatCode="0.0%">
                  <c:v>5.1013138686131401E-2</c:v>
                </c:pt>
                <c:pt idx="10" formatCode="0.0%">
                  <c:v>5.9896836982968417E-2</c:v>
                </c:pt>
                <c:pt idx="11" formatCode="0.0%">
                  <c:v>6.8889537712895327E-2</c:v>
                </c:pt>
                <c:pt idx="12" formatCode="0.0%">
                  <c:v>7.7991240875912415E-2</c:v>
                </c:pt>
                <c:pt idx="13" formatCode="0.0%">
                  <c:v>8.7201946472019398E-2</c:v>
                </c:pt>
                <c:pt idx="14" formatCode="0.0%">
                  <c:v>9.6521654501216539E-2</c:v>
                </c:pt>
                <c:pt idx="15" formatCode="0.0%">
                  <c:v>0.1059503649635037</c:v>
                </c:pt>
                <c:pt idx="16" formatCode="0.0%">
                  <c:v>0.11548807785888072</c:v>
                </c:pt>
                <c:pt idx="17" formatCode="0.0%">
                  <c:v>0.12513479318734788</c:v>
                </c:pt>
                <c:pt idx="18" formatCode="0.0%">
                  <c:v>0.13489051094890511</c:v>
                </c:pt>
                <c:pt idx="19" formatCode="0.0%">
                  <c:v>0.14475523114355227</c:v>
                </c:pt>
                <c:pt idx="20" formatCode="0.0%">
                  <c:v>0.15472895377128956</c:v>
                </c:pt>
                <c:pt idx="21" formatCode="0.0%">
                  <c:v>0.16481167883211686</c:v>
                </c:pt>
                <c:pt idx="22" formatCode="0.0%">
                  <c:v>0.17500340632603403</c:v>
                </c:pt>
                <c:pt idx="23" formatCode="0.0%">
                  <c:v>0.18530413625304132</c:v>
                </c:pt>
                <c:pt idx="24" formatCode="0.0%">
                  <c:v>0.19571386861313872</c:v>
                </c:pt>
                <c:pt idx="25" formatCode="0.0%">
                  <c:v>0.20623260340632613</c:v>
                </c:pt>
                <c:pt idx="26" formatCode="0.0%">
                  <c:v>0.21686034063260345</c:v>
                </c:pt>
                <c:pt idx="27" formatCode="0.0%">
                  <c:v>0.22759708029197084</c:v>
                </c:pt>
                <c:pt idx="28" formatCode="0.0%">
                  <c:v>0.23844282238442835</c:v>
                </c:pt>
                <c:pt idx="29" formatCode="0.0%">
                  <c:v>0.24939756690997578</c:v>
                </c:pt>
                <c:pt idx="30" formatCode="0.0%">
                  <c:v>0.26046131386861326</c:v>
                </c:pt>
                <c:pt idx="31" formatCode="0.0%">
                  <c:v>0.27163406326034079</c:v>
                </c:pt>
                <c:pt idx="32" formatCode="0.0%">
                  <c:v>0.28291581508515834</c:v>
                </c:pt>
                <c:pt idx="33" formatCode="0.0%">
                  <c:v>0.29430656934306587</c:v>
                </c:pt>
              </c:numCache>
            </c:numRef>
          </c:val>
          <c:extLst>
            <c:ext xmlns:c16="http://schemas.microsoft.com/office/drawing/2014/chart" uri="{C3380CC4-5D6E-409C-BE32-E72D297353CC}">
              <c16:uniqueId val="{00000004-EF99-420C-808A-A37873D6A01B}"/>
            </c:ext>
          </c:extLst>
        </c:ser>
        <c:ser>
          <c:idx val="12"/>
          <c:order val="4"/>
          <c:tx>
            <c:strRef>
              <c:f>'Stress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calculations'!$FF$7:$FF$40</c:f>
              <c:numCache>
                <c:formatCode>0.00%</c:formatCode>
                <c:ptCount val="34"/>
                <c:pt idx="0">
                  <c:v>0</c:v>
                </c:pt>
                <c:pt idx="1">
                  <c:v>0</c:v>
                </c:pt>
                <c:pt idx="2">
                  <c:v>0</c:v>
                </c:pt>
                <c:pt idx="3">
                  <c:v>0</c:v>
                </c:pt>
                <c:pt idx="4" formatCode="0.0%">
                  <c:v>3.50251419302519E-3</c:v>
                </c:pt>
                <c:pt idx="5" formatCode="0.0%">
                  <c:v>7.0514193025141784E-3</c:v>
                </c:pt>
                <c:pt idx="6" formatCode="0.0%">
                  <c:v>1.0646715328467187E-2</c:v>
                </c:pt>
                <c:pt idx="7" formatCode="0.0%">
                  <c:v>1.4288402270883991E-2</c:v>
                </c:pt>
                <c:pt idx="8" formatCode="0.0%">
                  <c:v>1.797648012976482E-2</c:v>
                </c:pt>
                <c:pt idx="9" formatCode="0.0%">
                  <c:v>2.1710948905109443E-2</c:v>
                </c:pt>
                <c:pt idx="10" formatCode="0.0%">
                  <c:v>2.5491808596918089E-2</c:v>
                </c:pt>
                <c:pt idx="11" formatCode="0.0%">
                  <c:v>2.9319059205190637E-2</c:v>
                </c:pt>
                <c:pt idx="12" formatCode="0.0%">
                  <c:v>3.3192700729926986E-2</c:v>
                </c:pt>
                <c:pt idx="13" formatCode="0.0%">
                  <c:v>3.7112733171127371E-2</c:v>
                </c:pt>
                <c:pt idx="14" formatCode="0.0%">
                  <c:v>4.1079156528791544E-2</c:v>
                </c:pt>
                <c:pt idx="15" formatCode="0.0%">
                  <c:v>4.509197080291974E-2</c:v>
                </c:pt>
                <c:pt idx="16" formatCode="0.0%">
                  <c:v>4.9151175993511716E-2</c:v>
                </c:pt>
                <c:pt idx="17" formatCode="0.0%">
                  <c:v>5.3256772100567715E-2</c:v>
                </c:pt>
                <c:pt idx="18" formatCode="0.0%">
                  <c:v>5.7408759124087522E-2</c:v>
                </c:pt>
                <c:pt idx="19" formatCode="0.0%">
                  <c:v>6.1607137064071359E-2</c:v>
                </c:pt>
                <c:pt idx="20" formatCode="0.0%">
                  <c:v>6.5851905920519108E-2</c:v>
                </c:pt>
                <c:pt idx="21" formatCode="0.0%">
                  <c:v>7.0143065693430651E-2</c:v>
                </c:pt>
                <c:pt idx="22" formatCode="0.0%">
                  <c:v>7.4480616382806189E-2</c:v>
                </c:pt>
                <c:pt idx="23" formatCode="0.0%">
                  <c:v>7.8864557988645514E-2</c:v>
                </c:pt>
                <c:pt idx="24" formatCode="0.0%">
                  <c:v>8.3294890510948905E-2</c:v>
                </c:pt>
                <c:pt idx="25" formatCode="0.0%">
                  <c:v>8.7771613949716207E-2</c:v>
                </c:pt>
                <c:pt idx="26" formatCode="0.0%">
                  <c:v>9.2294728304947296E-2</c:v>
                </c:pt>
                <c:pt idx="27" formatCode="0.0%">
                  <c:v>9.6864233576642381E-2</c:v>
                </c:pt>
                <c:pt idx="28" formatCode="0.0%">
                  <c:v>0.10148012976480141</c:v>
                </c:pt>
                <c:pt idx="29" formatCode="0.0%">
                  <c:v>0.10614241686942417</c:v>
                </c:pt>
                <c:pt idx="30" formatCode="0.0%">
                  <c:v>0.11085109489051102</c:v>
                </c:pt>
                <c:pt idx="31" formatCode="0.0%">
                  <c:v>0.11560616382806166</c:v>
                </c:pt>
                <c:pt idx="32" formatCode="0.0%">
                  <c:v>0.12040762368207633</c:v>
                </c:pt>
                <c:pt idx="33" formatCode="0.0%">
                  <c:v>0.12525547445255486</c:v>
                </c:pt>
              </c:numCache>
            </c:numRef>
          </c:val>
          <c:extLst>
            <c:ext xmlns:c16="http://schemas.microsoft.com/office/drawing/2014/chart" uri="{C3380CC4-5D6E-409C-BE32-E72D297353CC}">
              <c16:uniqueId val="{00000006-EF99-420C-808A-A37873D6A01B}"/>
            </c:ext>
          </c:extLst>
        </c:ser>
        <c:ser>
          <c:idx val="7"/>
          <c:order val="5"/>
          <c:tx>
            <c:strRef>
              <c:f>'Stress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calculations'!$FG$7:$FG$40</c:f>
              <c:numCache>
                <c:formatCode>0.00%</c:formatCode>
                <c:ptCount val="34"/>
                <c:pt idx="0">
                  <c:v>0</c:v>
                </c:pt>
                <c:pt idx="1">
                  <c:v>0</c:v>
                </c:pt>
                <c:pt idx="2">
                  <c:v>0</c:v>
                </c:pt>
                <c:pt idx="3">
                  <c:v>0</c:v>
                </c:pt>
                <c:pt idx="4" formatCode="0.0%">
                  <c:v>1.6900243309002421E-3</c:v>
                </c:pt>
                <c:pt idx="5" formatCode="0.0%">
                  <c:v>3.4024330900243294E-3</c:v>
                </c:pt>
                <c:pt idx="6" formatCode="0.0%">
                  <c:v>5.1372262773722597E-3</c:v>
                </c:pt>
                <c:pt idx="7" formatCode="0.0%">
                  <c:v>6.894403892944035E-3</c:v>
                </c:pt>
                <c:pt idx="8" formatCode="0.0%">
                  <c:v>8.6739659367396551E-3</c:v>
                </c:pt>
                <c:pt idx="9" formatCode="0.0%">
                  <c:v>1.0475912408759119E-2</c:v>
                </c:pt>
                <c:pt idx="10" formatCode="0.0%">
                  <c:v>1.2300243309002425E-2</c:v>
                </c:pt>
                <c:pt idx="11" formatCode="0.0%">
                  <c:v>1.4146958637469575E-2</c:v>
                </c:pt>
                <c:pt idx="12" formatCode="0.0%">
                  <c:v>1.6016058394160572E-2</c:v>
                </c:pt>
                <c:pt idx="13" formatCode="0.0%">
                  <c:v>1.7907542579075415E-2</c:v>
                </c:pt>
                <c:pt idx="14" formatCode="0.0%">
                  <c:v>1.9821411192214103E-2</c:v>
                </c:pt>
                <c:pt idx="15" formatCode="0.0%">
                  <c:v>2.1757664233576637E-2</c:v>
                </c:pt>
                <c:pt idx="16" formatCode="0.0%">
                  <c:v>2.3716301703163002E-2</c:v>
                </c:pt>
                <c:pt idx="17" formatCode="0.0%">
                  <c:v>2.5697323600973213E-2</c:v>
                </c:pt>
                <c:pt idx="18" formatCode="0.0%">
                  <c:v>2.770072992700728E-2</c:v>
                </c:pt>
                <c:pt idx="19" formatCode="0.0%">
                  <c:v>2.9726520681265189E-2</c:v>
                </c:pt>
                <c:pt idx="20" formatCode="0.0%">
                  <c:v>3.1774695863746948E-2</c:v>
                </c:pt>
                <c:pt idx="21" formatCode="0.0%">
                  <c:v>3.3845255474452544E-2</c:v>
                </c:pt>
                <c:pt idx="22" formatCode="0.0%">
                  <c:v>3.5938199513381973E-2</c:v>
                </c:pt>
                <c:pt idx="23" formatCode="0.0%">
                  <c:v>3.8053527980535247E-2</c:v>
                </c:pt>
                <c:pt idx="24" formatCode="0.0%">
                  <c:v>4.019124087591238E-2</c:v>
                </c:pt>
                <c:pt idx="25" formatCode="0.0%">
                  <c:v>4.2351338199513359E-2</c:v>
                </c:pt>
                <c:pt idx="26" formatCode="0.0%">
                  <c:v>4.4533819951338184E-2</c:v>
                </c:pt>
                <c:pt idx="27" formatCode="0.0%">
                  <c:v>4.6738686131386833E-2</c:v>
                </c:pt>
                <c:pt idx="28" formatCode="0.0%">
                  <c:v>4.8965936739659342E-2</c:v>
                </c:pt>
                <c:pt idx="29" formatCode="0.0%">
                  <c:v>5.1215571776155683E-2</c:v>
                </c:pt>
                <c:pt idx="30" formatCode="0.0%">
                  <c:v>5.3487591240875883E-2</c:v>
                </c:pt>
                <c:pt idx="31" formatCode="0.0%">
                  <c:v>5.5781995133819921E-2</c:v>
                </c:pt>
                <c:pt idx="32" formatCode="0.0%">
                  <c:v>5.8098783454987812E-2</c:v>
                </c:pt>
                <c:pt idx="33" formatCode="0.0%">
                  <c:v>6.0437956204379528E-2</c:v>
                </c:pt>
              </c:numCache>
            </c:numRef>
          </c:val>
          <c:extLst>
            <c:ext xmlns:c16="http://schemas.microsoft.com/office/drawing/2014/chart" uri="{C3380CC4-5D6E-409C-BE32-E72D297353CC}">
              <c16:uniqueId val="{00000008-EF99-420C-808A-A37873D6A01B}"/>
            </c:ext>
          </c:extLst>
        </c:ser>
        <c:ser>
          <c:idx val="5"/>
          <c:order val="6"/>
          <c:tx>
            <c:strRef>
              <c:f>'Stress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3.4285714285714401E-3</c:v>
                </c:pt>
                <c:pt idx="14" formatCode="0.0%">
                  <c:v>6.9000000000000242E-3</c:v>
                </c:pt>
                <c:pt idx="15" formatCode="0.0%">
                  <c:v>1.0414285714285753E-2</c:v>
                </c:pt>
                <c:pt idx="16" formatCode="0.0%">
                  <c:v>1.3971428571428619E-2</c:v>
                </c:pt>
                <c:pt idx="17" formatCode="0.0%">
                  <c:v>1.7571428571428627E-2</c:v>
                </c:pt>
                <c:pt idx="18" formatCode="0.0%">
                  <c:v>2.1214285714285661E-2</c:v>
                </c:pt>
                <c:pt idx="19" formatCode="0.0%">
                  <c:v>2.489999999999996E-2</c:v>
                </c:pt>
                <c:pt idx="20" formatCode="0.0%">
                  <c:v>2.8628571428571406E-2</c:v>
                </c:pt>
                <c:pt idx="21" formatCode="0.0%">
                  <c:v>3.2399999999999991E-2</c:v>
                </c:pt>
                <c:pt idx="22" formatCode="0.0%">
                  <c:v>3.6214285714285713E-2</c:v>
                </c:pt>
                <c:pt idx="23" formatCode="0.0%">
                  <c:v>4.007142857142857E-2</c:v>
                </c:pt>
                <c:pt idx="24" formatCode="0.0%">
                  <c:v>4.3971428571428592E-2</c:v>
                </c:pt>
                <c:pt idx="25" formatCode="0.0%">
                  <c:v>4.791428571428575E-2</c:v>
                </c:pt>
                <c:pt idx="26" formatCode="0.0%">
                  <c:v>5.1900000000000057E-2</c:v>
                </c:pt>
                <c:pt idx="27" formatCode="0.0%">
                  <c:v>5.592857142857148E-2</c:v>
                </c:pt>
                <c:pt idx="28" formatCode="0.0%">
                  <c:v>5.9999999999999949E-2</c:v>
                </c:pt>
                <c:pt idx="29" formatCode="0.0%">
                  <c:v>6.4114285714285651E-2</c:v>
                </c:pt>
                <c:pt idx="30" formatCode="0.0%">
                  <c:v>6.8271428571428538E-2</c:v>
                </c:pt>
                <c:pt idx="31" formatCode="0.0%">
                  <c:v>7.2471428571428562E-2</c:v>
                </c:pt>
                <c:pt idx="32" formatCode="0.0%">
                  <c:v>7.6714285714285721E-2</c:v>
                </c:pt>
                <c:pt idx="33" formatCode="0.0%">
                  <c:v>8.1000000000000003E-2</c:v>
                </c:pt>
              </c:numCache>
            </c:numRef>
          </c:val>
          <c:extLst>
            <c:ext xmlns:c16="http://schemas.microsoft.com/office/drawing/2014/chart" uri="{C3380CC4-5D6E-409C-BE32-E72D297353CC}">
              <c16:uniqueId val="{0000000A-EF99-420C-808A-A37873D6A01B}"/>
            </c:ext>
          </c:extLst>
        </c:ser>
        <c:ser>
          <c:idx val="9"/>
          <c:order val="7"/>
          <c:tx>
            <c:strRef>
              <c:f>'Stress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8.9423076923081206E-4</c:v>
                </c:pt>
                <c:pt idx="9" formatCode="0.0%">
                  <c:v>1.7999999999999707E-3</c:v>
                </c:pt>
                <c:pt idx="10" formatCode="0.0%">
                  <c:v>2.7173076923077059E-3</c:v>
                </c:pt>
                <c:pt idx="11" formatCode="0.0%">
                  <c:v>3.6461538461539022E-3</c:v>
                </c:pt>
                <c:pt idx="12" formatCode="0.0%">
                  <c:v>4.5865384615384449E-3</c:v>
                </c:pt>
                <c:pt idx="13" formatCode="0.0%">
                  <c:v>5.5384615384615659E-3</c:v>
                </c:pt>
                <c:pt idx="14" formatCode="0.0%">
                  <c:v>6.501923076923031E-3</c:v>
                </c:pt>
                <c:pt idx="15" formatCode="0.0%">
                  <c:v>7.4769230769230763E-3</c:v>
                </c:pt>
                <c:pt idx="16" formatCode="0.0%">
                  <c:v>8.4634615384615811E-3</c:v>
                </c:pt>
                <c:pt idx="17" formatCode="0.0%">
                  <c:v>9.4615384615384258E-3</c:v>
                </c:pt>
                <c:pt idx="18" formatCode="0.0%">
                  <c:v>1.0471153846153856E-2</c:v>
                </c:pt>
                <c:pt idx="19" formatCode="0.0%">
                  <c:v>1.149230769230775E-2</c:v>
                </c:pt>
                <c:pt idx="20" formatCode="0.0%">
                  <c:v>1.2524999999999982E-2</c:v>
                </c:pt>
                <c:pt idx="21" formatCode="0.0%">
                  <c:v>1.35692307692308E-2</c:v>
                </c:pt>
                <c:pt idx="22" formatCode="0.0%">
                  <c:v>1.4624999999999949E-2</c:v>
                </c:pt>
                <c:pt idx="23" formatCode="0.0%">
                  <c:v>1.5692307692307682E-2</c:v>
                </c:pt>
                <c:pt idx="24" formatCode="0.0%">
                  <c:v>1.6771153846153887E-2</c:v>
                </c:pt>
                <c:pt idx="25" formatCode="0.0%">
                  <c:v>1.7861538461538425E-2</c:v>
                </c:pt>
                <c:pt idx="26" formatCode="0.0%">
                  <c:v>1.8963461538461551E-2</c:v>
                </c:pt>
                <c:pt idx="27" formatCode="0.0%">
                  <c:v>2.0076923076923135E-2</c:v>
                </c:pt>
                <c:pt idx="28" formatCode="0.0%">
                  <c:v>2.1201923076923056E-2</c:v>
                </c:pt>
                <c:pt idx="29" formatCode="0.0%">
                  <c:v>2.233846153846156E-2</c:v>
                </c:pt>
                <c:pt idx="30" formatCode="0.0%">
                  <c:v>2.3486538461538402E-2</c:v>
                </c:pt>
                <c:pt idx="31" formatCode="0.0%">
                  <c:v>2.4646153846153838E-2</c:v>
                </c:pt>
                <c:pt idx="32" formatCode="0.0%">
                  <c:v>2.581730769230774E-2</c:v>
                </c:pt>
                <c:pt idx="33" formatCode="0.0%">
                  <c:v>2.6999999999999958E-2</c:v>
                </c:pt>
              </c:numCache>
            </c:numRef>
          </c:val>
          <c:extLst>
            <c:ext xmlns:c16="http://schemas.microsoft.com/office/drawing/2014/chart" uri="{C3380CC4-5D6E-409C-BE32-E72D297353CC}">
              <c16:uniqueId val="{0000000C-EF99-420C-808A-A37873D6A01B}"/>
            </c:ext>
          </c:extLst>
        </c:ser>
        <c:ser>
          <c:idx val="6"/>
          <c:order val="8"/>
          <c:tx>
            <c:strRef>
              <c:f>'Stress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calculations'!$FJ$7:$FJ$40</c:f>
              <c:numCache>
                <c:formatCode>0.00%</c:formatCode>
                <c:ptCount val="34"/>
                <c:pt idx="0">
                  <c:v>0</c:v>
                </c:pt>
                <c:pt idx="1">
                  <c:v>0</c:v>
                </c:pt>
                <c:pt idx="2">
                  <c:v>0</c:v>
                </c:pt>
                <c:pt idx="3">
                  <c:v>0</c:v>
                </c:pt>
                <c:pt idx="4" formatCode="0.0%">
                  <c:v>0</c:v>
                </c:pt>
                <c:pt idx="5" formatCode="0.0%">
                  <c:v>0</c:v>
                </c:pt>
                <c:pt idx="6" formatCode="0.0%">
                  <c:v>2.5499999999997194E-4</c:v>
                </c:pt>
                <c:pt idx="7" formatCode="0.0%">
                  <c:v>5.1333333333327682E-4</c:v>
                </c:pt>
                <c:pt idx="8" formatCode="0.0%">
                  <c:v>7.7500000000002946E-4</c:v>
                </c:pt>
                <c:pt idx="9" formatCode="0.0%">
                  <c:v>1.040000000000001E-3</c:v>
                </c:pt>
                <c:pt idx="10" formatCode="0.0%">
                  <c:v>1.3083333333333055E-3</c:v>
                </c:pt>
                <c:pt idx="11" formatCode="0.0%">
                  <c:v>1.5799999999999423E-3</c:v>
                </c:pt>
                <c:pt idx="12" formatCode="0.0%">
                  <c:v>1.8550000000000307E-3</c:v>
                </c:pt>
                <c:pt idx="13" formatCode="0.0%">
                  <c:v>2.1333333333333352E-3</c:v>
                </c:pt>
                <c:pt idx="14" formatCode="0.0%">
                  <c:v>2.4149999999999727E-3</c:v>
                </c:pt>
                <c:pt idx="15" formatCode="0.0%">
                  <c:v>2.6999999999999433E-3</c:v>
                </c:pt>
                <c:pt idx="16" formatCode="0.0%">
                  <c:v>2.9883333333333663E-3</c:v>
                </c:pt>
                <c:pt idx="17" formatCode="0.0%">
                  <c:v>3.2800000000000021E-3</c:v>
                </c:pt>
                <c:pt idx="18" formatCode="0.0%">
                  <c:v>3.5749999999999723E-3</c:v>
                </c:pt>
                <c:pt idx="19" formatCode="0.0%">
                  <c:v>3.8733333333332755E-3</c:v>
                </c:pt>
                <c:pt idx="20" formatCode="0.0%">
                  <c:v>4.1750000000000355E-3</c:v>
                </c:pt>
                <c:pt idx="21" formatCode="0.0%">
                  <c:v>4.4800000000000057E-3</c:v>
                </c:pt>
                <c:pt idx="22" formatCode="0.0%">
                  <c:v>4.7883333333333068E-3</c:v>
                </c:pt>
                <c:pt idx="23" formatCode="0.0%">
                  <c:v>5.0999999999999405E-3</c:v>
                </c:pt>
                <c:pt idx="24" formatCode="0.0%">
                  <c:v>5.4150000000000361E-3</c:v>
                </c:pt>
                <c:pt idx="25" formatCode="0.0%">
                  <c:v>5.7333333333333385E-3</c:v>
                </c:pt>
                <c:pt idx="26" formatCode="0.0%">
                  <c:v>6.0549999999999745E-3</c:v>
                </c:pt>
                <c:pt idx="27" formatCode="0.0%">
                  <c:v>6.3799999999999404E-3</c:v>
                </c:pt>
                <c:pt idx="28" formatCode="0.0%">
                  <c:v>6.7083333333333717E-3</c:v>
                </c:pt>
                <c:pt idx="29" formatCode="0.0%">
                  <c:v>7.0400000000000046E-3</c:v>
                </c:pt>
                <c:pt idx="30" formatCode="0.0%">
                  <c:v>7.3749999999999736E-3</c:v>
                </c:pt>
                <c:pt idx="31" formatCode="0.0%">
                  <c:v>7.7133333333332752E-3</c:v>
                </c:pt>
                <c:pt idx="32" formatCode="0.0%">
                  <c:v>8.0550000000000413E-3</c:v>
                </c:pt>
                <c:pt idx="33" formatCode="0.0%">
                  <c:v>8.4000000000000064E-3</c:v>
                </c:pt>
              </c:numCache>
            </c:numRef>
          </c:val>
          <c:extLst>
            <c:ext xmlns:c16="http://schemas.microsoft.com/office/drawing/2014/chart" uri="{C3380CC4-5D6E-409C-BE32-E72D297353CC}">
              <c16:uniqueId val="{0000000D-EF99-420C-808A-A37873D6A01B}"/>
            </c:ext>
          </c:extLst>
        </c:ser>
        <c:ser>
          <c:idx val="3"/>
          <c:order val="9"/>
          <c:tx>
            <c:strRef>
              <c:f>'Stress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calculations'!$FK$7:$FK$40</c:f>
              <c:numCache>
                <c:formatCode>0.00%</c:formatCode>
                <c:ptCount val="34"/>
                <c:pt idx="0">
                  <c:v>0</c:v>
                </c:pt>
                <c:pt idx="1">
                  <c:v>0</c:v>
                </c:pt>
                <c:pt idx="2">
                  <c:v>0</c:v>
                </c:pt>
                <c:pt idx="3">
                  <c:v>0</c:v>
                </c:pt>
                <c:pt idx="4" formatCode="0.0%">
                  <c:v>9.6639999999996061E-4</c:v>
                </c:pt>
                <c:pt idx="5" formatCode="0.0%">
                  <c:v>1.9456000000000334E-3</c:v>
                </c:pt>
                <c:pt idx="6" formatCode="0.0%">
                  <c:v>2.9375999999999938E-3</c:v>
                </c:pt>
                <c:pt idx="7" formatCode="0.0%">
                  <c:v>3.9423999999999536E-3</c:v>
                </c:pt>
                <c:pt idx="8" formatCode="0.0%">
                  <c:v>4.9600000000000278E-3</c:v>
                </c:pt>
                <c:pt idx="9" formatCode="0.0%">
                  <c:v>5.9903999999999869E-3</c:v>
                </c:pt>
                <c:pt idx="10" formatCode="0.0%">
                  <c:v>7.0335999999999455E-3</c:v>
                </c:pt>
                <c:pt idx="11" formatCode="0.0%">
                  <c:v>8.089600000000018E-3</c:v>
                </c:pt>
                <c:pt idx="12" formatCode="0.0%">
                  <c:v>9.158399999999978E-3</c:v>
                </c:pt>
                <c:pt idx="13" formatCode="0.0%">
                  <c:v>1.0240000000000056E-2</c:v>
                </c:pt>
                <c:pt idx="14" formatCode="0.0%">
                  <c:v>1.1334400000000017E-2</c:v>
                </c:pt>
                <c:pt idx="15" formatCode="0.0%">
                  <c:v>1.2441599999999976E-2</c:v>
                </c:pt>
                <c:pt idx="16" formatCode="0.0%">
                  <c:v>1.356160000000005E-2</c:v>
                </c:pt>
                <c:pt idx="17" formatCode="0.0%">
                  <c:v>1.4694400000000005E-2</c:v>
                </c:pt>
                <c:pt idx="18" formatCode="0.0%">
                  <c:v>1.5839999999999962E-2</c:v>
                </c:pt>
                <c:pt idx="19" formatCode="0.0%">
                  <c:v>1.6998400000000045E-2</c:v>
                </c:pt>
                <c:pt idx="20" formatCode="0.0%">
                  <c:v>1.8169600000000004E-2</c:v>
                </c:pt>
                <c:pt idx="21" formatCode="0.0%">
                  <c:v>1.9353599999999964E-2</c:v>
                </c:pt>
                <c:pt idx="22" formatCode="0.0%">
                  <c:v>2.0550400000000038E-2</c:v>
                </c:pt>
                <c:pt idx="23" formatCode="0.0%">
                  <c:v>2.1759999999999988E-2</c:v>
                </c:pt>
                <c:pt idx="24" formatCode="0.0%">
                  <c:v>2.2982399999999948E-2</c:v>
                </c:pt>
                <c:pt idx="25" formatCode="0.0%">
                  <c:v>2.4217600000000034E-2</c:v>
                </c:pt>
                <c:pt idx="26" formatCode="0.0%">
                  <c:v>2.5465599999999991E-2</c:v>
                </c:pt>
                <c:pt idx="27" formatCode="0.0%">
                  <c:v>2.6726399999999938E-2</c:v>
                </c:pt>
                <c:pt idx="28" formatCode="0.0%">
                  <c:v>2.8000000000000028E-2</c:v>
                </c:pt>
                <c:pt idx="29" formatCode="0.0%">
                  <c:v>2.9286399999999973E-2</c:v>
                </c:pt>
                <c:pt idx="30" formatCode="0.0%">
                  <c:v>3.0585599999999932E-2</c:v>
                </c:pt>
                <c:pt idx="31" formatCode="0.0%">
                  <c:v>3.1897600000000019E-2</c:v>
                </c:pt>
                <c:pt idx="32" formatCode="0.0%">
                  <c:v>3.3222399999999978E-2</c:v>
                </c:pt>
                <c:pt idx="33" formatCode="0.0%">
                  <c:v>3.4559999999999924E-2</c:v>
                </c:pt>
              </c:numCache>
            </c:numRef>
          </c:val>
          <c:extLst>
            <c:ext xmlns:c16="http://schemas.microsoft.com/office/drawing/2014/chart" uri="{C3380CC4-5D6E-409C-BE32-E72D297353CC}">
              <c16:uniqueId val="{0000000F-EF99-420C-808A-A37873D6A01B}"/>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EF99-420C-808A-A37873D6A01B}"/>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EF99-420C-808A-A37873D6A01B}"/>
              </c:ext>
            </c:extLst>
          </c:dPt>
          <c:dLbls>
            <c:dLbl>
              <c:idx val="3"/>
              <c:layout>
                <c:manualLayout>
                  <c:x val="-4.3207957428504265E-2"/>
                  <c:y val="0.31040735222083488"/>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1048422523695384"/>
                      <c:h val="2.9978359468899769E-2"/>
                    </c:manualLayout>
                  </c15:layout>
                </c:ext>
                <c:ext xmlns:c16="http://schemas.microsoft.com/office/drawing/2014/chart" uri="{C3380CC4-5D6E-409C-BE32-E72D297353CC}">
                  <c16:uniqueId val="{00000011-EF99-420C-808A-A37873D6A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12-EF99-420C-808A-A37873D6A01B}"/>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13-EF99-420C-808A-A37873D6A01B}"/>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a:solidFill>
                  <a:schemeClr val="tx1">
                    <a:lumMod val="65000"/>
                    <a:lumOff val="35000"/>
                  </a:schemeClr>
                </a:solidFill>
              </a:rPr>
              <a:t>Evolution of Carbon Reduction up to 2050</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calculations'!$FA$122</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calculations'!$FA$123:$FA$156</c:f>
              <c:numCache>
                <c:formatCode>0.00%</c:formatCode>
                <c:ptCount val="34"/>
                <c:pt idx="0">
                  <c:v>1</c:v>
                </c:pt>
                <c:pt idx="1">
                  <c:v>0.98333333333333328</c:v>
                </c:pt>
                <c:pt idx="2">
                  <c:v>0.96666666666666656</c:v>
                </c:pt>
                <c:pt idx="3">
                  <c:v>0.95</c:v>
                </c:pt>
                <c:pt idx="4">
                  <c:v>0.937254185620915</c:v>
                </c:pt>
                <c:pt idx="5">
                  <c:v>0.92425125228758165</c:v>
                </c:pt>
                <c:pt idx="6">
                  <c:v>0.90478872812243472</c:v>
                </c:pt>
                <c:pt idx="7">
                  <c:v>0.88441116182762824</c:v>
                </c:pt>
                <c:pt idx="8">
                  <c:v>0.86221308539149655</c:v>
                </c:pt>
                <c:pt idx="9">
                  <c:v>0.83906595387929761</c:v>
                </c:pt>
                <c:pt idx="10">
                  <c:v>0.81495853004859597</c:v>
                </c:pt>
                <c:pt idx="11">
                  <c:v>0.78987957665695718</c:v>
                </c:pt>
                <c:pt idx="12">
                  <c:v>0.76381785646194666</c:v>
                </c:pt>
                <c:pt idx="13">
                  <c:v>0.73333356079255774</c:v>
                </c:pt>
                <c:pt idx="14">
                  <c:v>0.70180116669207027</c:v>
                </c:pt>
                <c:pt idx="15">
                  <c:v>0.66920943691804946</c:v>
                </c:pt>
                <c:pt idx="16">
                  <c:v>0.63554713422806031</c:v>
                </c:pt>
                <c:pt idx="17">
                  <c:v>0.60080302137966834</c:v>
                </c:pt>
                <c:pt idx="18">
                  <c:v>0.56496586113043867</c:v>
                </c:pt>
                <c:pt idx="19">
                  <c:v>0.52802441623793606</c:v>
                </c:pt>
                <c:pt idx="20">
                  <c:v>0.48996744945972603</c:v>
                </c:pt>
                <c:pt idx="21">
                  <c:v>0.45637318237690383</c:v>
                </c:pt>
                <c:pt idx="22">
                  <c:v>0.42170746009997506</c:v>
                </c:pt>
                <c:pt idx="23">
                  <c:v>0.38595904538650538</c:v>
                </c:pt>
                <c:pt idx="24">
                  <c:v>0.36039072669685202</c:v>
                </c:pt>
                <c:pt idx="25">
                  <c:v>0.33563787783708376</c:v>
                </c:pt>
                <c:pt idx="26">
                  <c:v>0.31056929880720008</c:v>
                </c:pt>
                <c:pt idx="27">
                  <c:v>0.28518498960720096</c:v>
                </c:pt>
                <c:pt idx="28">
                  <c:v>0.2594849502370864</c:v>
                </c:pt>
                <c:pt idx="29">
                  <c:v>0.23346918069685663</c:v>
                </c:pt>
                <c:pt idx="30">
                  <c:v>0.20713768098651109</c:v>
                </c:pt>
                <c:pt idx="31">
                  <c:v>0.18049045110605044</c:v>
                </c:pt>
                <c:pt idx="32">
                  <c:v>0.1535274910554737</c:v>
                </c:pt>
                <c:pt idx="33">
                  <c:v>0.1262488008347824</c:v>
                </c:pt>
              </c:numCache>
            </c:numRef>
          </c:val>
          <c:extLst>
            <c:ext xmlns:c16="http://schemas.microsoft.com/office/drawing/2014/chart" uri="{C3380CC4-5D6E-409C-BE32-E72D297353CC}">
              <c16:uniqueId val="{00000000-C5EB-4053-8E6D-E828ADAC3C86}"/>
            </c:ext>
          </c:extLst>
        </c:ser>
        <c:ser>
          <c:idx val="11"/>
          <c:order val="1"/>
          <c:tx>
            <c:strRef>
              <c:f>'Stress calculations'!$FC$122</c:f>
              <c:strCache>
                <c:ptCount val="1"/>
                <c:pt idx="0">
                  <c:v>80% BEV</c:v>
                </c:pt>
              </c:strCache>
            </c:strRef>
          </c:tx>
          <c:spPr>
            <a:solidFill>
              <a:schemeClr val="accent4">
                <a:lumMod val="60000"/>
                <a:lumOff val="4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calculations'!$FC$123:$FC$156</c:f>
              <c:numCache>
                <c:formatCode>0.00%</c:formatCode>
                <c:ptCount val="34"/>
                <c:pt idx="0">
                  <c:v>0</c:v>
                </c:pt>
                <c:pt idx="1">
                  <c:v>0</c:v>
                </c:pt>
                <c:pt idx="2">
                  <c:v>0</c:v>
                </c:pt>
                <c:pt idx="3">
                  <c:v>0</c:v>
                </c:pt>
                <c:pt idx="4">
                  <c:v>0</c:v>
                </c:pt>
                <c:pt idx="5">
                  <c:v>0</c:v>
                </c:pt>
                <c:pt idx="6">
                  <c:v>9.8501118775652183E-3</c:v>
                </c:pt>
                <c:pt idx="7">
                  <c:v>2.0405828499169085E-2</c:v>
                </c:pt>
                <c:pt idx="8">
                  <c:v>3.1678387107246381E-2</c:v>
                </c:pt>
                <c:pt idx="9">
                  <c:v>4.3679024944231891E-2</c:v>
                </c:pt>
                <c:pt idx="10">
                  <c:v>5.641897925256039E-2</c:v>
                </c:pt>
                <c:pt idx="11">
                  <c:v>6.9909487274666657E-2</c:v>
                </c:pt>
                <c:pt idx="12">
                  <c:v>8.416178625298551E-2</c:v>
                </c:pt>
                <c:pt idx="13">
                  <c:v>9.9187113429951707E-2</c:v>
                </c:pt>
                <c:pt idx="14">
                  <c:v>0.11499670604800004</c:v>
                </c:pt>
                <c:pt idx="15">
                  <c:v>0.13160180134956528</c:v>
                </c:pt>
                <c:pt idx="16">
                  <c:v>0.14901363657708216</c:v>
                </c:pt>
                <c:pt idx="17">
                  <c:v>0.16724344897298551</c:v>
                </c:pt>
                <c:pt idx="18">
                  <c:v>0.18630247577971012</c:v>
                </c:pt>
                <c:pt idx="19">
                  <c:v>0.20620195423969084</c:v>
                </c:pt>
                <c:pt idx="20">
                  <c:v>0.22695312159536238</c:v>
                </c:pt>
                <c:pt idx="21">
                  <c:v>0.24856721508915952</c:v>
                </c:pt>
                <c:pt idx="22">
                  <c:v>0.27105547196351698</c:v>
                </c:pt>
                <c:pt idx="23">
                  <c:v>0.29442912946086952</c:v>
                </c:pt>
                <c:pt idx="24">
                  <c:v>0.30192577088556521</c:v>
                </c:pt>
                <c:pt idx="25">
                  <c:v>0.30948983576486966</c:v>
                </c:pt>
                <c:pt idx="26">
                  <c:v>0.31712132409878274</c:v>
                </c:pt>
                <c:pt idx="27">
                  <c:v>0.32482023588730435</c:v>
                </c:pt>
                <c:pt idx="28">
                  <c:v>0.33258657113043488</c:v>
                </c:pt>
                <c:pt idx="29">
                  <c:v>0.34042032982817388</c:v>
                </c:pt>
                <c:pt idx="30">
                  <c:v>0.3483215119805218</c:v>
                </c:pt>
                <c:pt idx="31">
                  <c:v>0.35629011758747836</c:v>
                </c:pt>
                <c:pt idx="32">
                  <c:v>0.36432614664904361</c:v>
                </c:pt>
                <c:pt idx="33">
                  <c:v>0.37242959916521745</c:v>
                </c:pt>
              </c:numCache>
            </c:numRef>
          </c:val>
          <c:extLst>
            <c:ext xmlns:c16="http://schemas.microsoft.com/office/drawing/2014/chart" uri="{C3380CC4-5D6E-409C-BE32-E72D297353CC}">
              <c16:uniqueId val="{00000001-C5EB-4053-8E6D-E828ADAC3C86}"/>
            </c:ext>
          </c:extLst>
        </c:ser>
        <c:ser>
          <c:idx val="4"/>
          <c:order val="2"/>
          <c:tx>
            <c:strRef>
              <c:f>'Stress calculations'!$FD$122</c:f>
              <c:strCache>
                <c:ptCount val="1"/>
                <c:pt idx="0">
                  <c:v>ICE fuel efficiency@80%BEV</c:v>
                </c:pt>
              </c:strCache>
            </c:strRef>
          </c:tx>
          <c:spPr>
            <a:solidFill>
              <a:schemeClr val="accent5">
                <a:lumMod val="60000"/>
                <a:lumOff val="40000"/>
              </a:schemeClr>
            </a:solidFill>
            <a:ln w="25400">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02-C5EB-4053-8E6D-E828ADAC3C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calculations'!$FD$123:$FD$156</c:f>
              <c:numCache>
                <c:formatCode>0.00%</c:formatCode>
                <c:ptCount val="34"/>
                <c:pt idx="0">
                  <c:v>0</c:v>
                </c:pt>
                <c:pt idx="1">
                  <c:v>0</c:v>
                </c:pt>
                <c:pt idx="2">
                  <c:v>0</c:v>
                </c:pt>
                <c:pt idx="3">
                  <c:v>0</c:v>
                </c:pt>
                <c:pt idx="4">
                  <c:v>5.0238588235294096E-3</c:v>
                </c:pt>
                <c:pt idx="5">
                  <c:v>1.0114258823529409E-2</c:v>
                </c:pt>
                <c:pt idx="6">
                  <c:v>1.1368559999999996E-2</c:v>
                </c:pt>
                <c:pt idx="7">
                  <c:v>1.2638387450980386E-2</c:v>
                </c:pt>
                <c:pt idx="8">
                  <c:v>1.3923741176470583E-2</c:v>
                </c:pt>
                <c:pt idx="9">
                  <c:v>1.5224621176470582E-2</c:v>
                </c:pt>
                <c:pt idx="10">
                  <c:v>1.6541027450980381E-2</c:v>
                </c:pt>
                <c:pt idx="11">
                  <c:v>1.7872959999999986E-2</c:v>
                </c:pt>
                <c:pt idx="12">
                  <c:v>1.9220418823529397E-2</c:v>
                </c:pt>
                <c:pt idx="13">
                  <c:v>2.0583403921568617E-2</c:v>
                </c:pt>
                <c:pt idx="14">
                  <c:v>2.1961915294117625E-2</c:v>
                </c:pt>
                <c:pt idx="15">
                  <c:v>2.3355952941176469E-2</c:v>
                </c:pt>
                <c:pt idx="16">
                  <c:v>2.4765516862745082E-2</c:v>
                </c:pt>
                <c:pt idx="17">
                  <c:v>2.6190607058823513E-2</c:v>
                </c:pt>
                <c:pt idx="18">
                  <c:v>2.7631223529411754E-2</c:v>
                </c:pt>
                <c:pt idx="19">
                  <c:v>2.90873662745098E-2</c:v>
                </c:pt>
                <c:pt idx="20">
                  <c:v>3.0559035294117663E-2</c:v>
                </c:pt>
                <c:pt idx="21">
                  <c:v>2.6456771764705886E-2</c:v>
                </c:pt>
                <c:pt idx="22">
                  <c:v>2.2303493333333334E-2</c:v>
                </c:pt>
                <c:pt idx="23">
                  <c:v>1.8099199999999968E-2</c:v>
                </c:pt>
                <c:pt idx="24">
                  <c:v>1.9343519999999999E-2</c:v>
                </c:pt>
                <c:pt idx="25">
                  <c:v>1.9456640000000001E-2</c:v>
                </c:pt>
                <c:pt idx="26">
                  <c:v>1.9569760000000005E-2</c:v>
                </c:pt>
                <c:pt idx="27">
                  <c:v>1.968288E-2</c:v>
                </c:pt>
                <c:pt idx="28">
                  <c:v>1.9796000000000001E-2</c:v>
                </c:pt>
                <c:pt idx="29">
                  <c:v>1.9909119999999995E-2</c:v>
                </c:pt>
                <c:pt idx="30">
                  <c:v>2.002224E-2</c:v>
                </c:pt>
                <c:pt idx="31">
                  <c:v>2.0135360000000001E-2</c:v>
                </c:pt>
                <c:pt idx="32">
                  <c:v>2.0248480000000006E-2</c:v>
                </c:pt>
                <c:pt idx="33">
                  <c:v>2.0361600000000001E-2</c:v>
                </c:pt>
              </c:numCache>
            </c:numRef>
          </c:val>
          <c:extLst>
            <c:ext xmlns:c16="http://schemas.microsoft.com/office/drawing/2014/chart" uri="{C3380CC4-5D6E-409C-BE32-E72D297353CC}">
              <c16:uniqueId val="{00000003-C5EB-4053-8E6D-E828ADAC3C86}"/>
            </c:ext>
          </c:extLst>
        </c:ser>
        <c:ser>
          <c:idx val="0"/>
          <c:order val="3"/>
          <c:tx>
            <c:strRef>
              <c:f>'Stress calculations'!$FE$6</c:f>
              <c:strCache>
                <c:ptCount val="1"/>
                <c:pt idx="0">
                  <c:v>Trips &gt; 8km (car to PT/carpool)</c:v>
                </c:pt>
              </c:strCache>
            </c:strRef>
          </c:tx>
          <c:spPr>
            <a:solidFill>
              <a:schemeClr val="accent6">
                <a:lumMod val="75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calculations'!$FE$123:$FE$156</c:f>
              <c:numCache>
                <c:formatCode>0.00%</c:formatCode>
                <c:ptCount val="34"/>
                <c:pt idx="0">
                  <c:v>0</c:v>
                </c:pt>
                <c:pt idx="1">
                  <c:v>0</c:v>
                </c:pt>
                <c:pt idx="2">
                  <c:v>0</c:v>
                </c:pt>
                <c:pt idx="3">
                  <c:v>0</c:v>
                </c:pt>
                <c:pt idx="4">
                  <c:v>8.229683698296875E-3</c:v>
                </c:pt>
                <c:pt idx="5">
                  <c:v>1.6568369829683665E-2</c:v>
                </c:pt>
                <c:pt idx="6">
                  <c:v>2.501605839416059E-2</c:v>
                </c:pt>
                <c:pt idx="7">
                  <c:v>3.3572749391727538E-2</c:v>
                </c:pt>
                <c:pt idx="8">
                  <c:v>4.2238442822384405E-2</c:v>
                </c:pt>
                <c:pt idx="9">
                  <c:v>5.1013138686131401E-2</c:v>
                </c:pt>
                <c:pt idx="10">
                  <c:v>5.9896836982968417E-2</c:v>
                </c:pt>
                <c:pt idx="11">
                  <c:v>6.8889537712895327E-2</c:v>
                </c:pt>
                <c:pt idx="12">
                  <c:v>7.7991240875912415E-2</c:v>
                </c:pt>
                <c:pt idx="13">
                  <c:v>8.7201946472019398E-2</c:v>
                </c:pt>
                <c:pt idx="14">
                  <c:v>9.6521654501216539E-2</c:v>
                </c:pt>
                <c:pt idx="15">
                  <c:v>0.1059503649635037</c:v>
                </c:pt>
                <c:pt idx="16">
                  <c:v>0.11548807785888072</c:v>
                </c:pt>
                <c:pt idx="17">
                  <c:v>0.12513479318734788</c:v>
                </c:pt>
                <c:pt idx="18">
                  <c:v>0.13489051094890511</c:v>
                </c:pt>
                <c:pt idx="19">
                  <c:v>0.14475523114355227</c:v>
                </c:pt>
                <c:pt idx="20">
                  <c:v>0.15472895377128956</c:v>
                </c:pt>
                <c:pt idx="21">
                  <c:v>0.16481167883211686</c:v>
                </c:pt>
                <c:pt idx="22">
                  <c:v>0.17500340632603403</c:v>
                </c:pt>
                <c:pt idx="23">
                  <c:v>0.18530413625304132</c:v>
                </c:pt>
                <c:pt idx="24">
                  <c:v>0.19571386861313872</c:v>
                </c:pt>
                <c:pt idx="25">
                  <c:v>0.20623260340632613</c:v>
                </c:pt>
                <c:pt idx="26">
                  <c:v>0.21686034063260345</c:v>
                </c:pt>
                <c:pt idx="27">
                  <c:v>0.22759708029197084</c:v>
                </c:pt>
                <c:pt idx="28">
                  <c:v>0.23844282238442835</c:v>
                </c:pt>
                <c:pt idx="29">
                  <c:v>0.24939756690997578</c:v>
                </c:pt>
                <c:pt idx="30">
                  <c:v>0.26046131386861326</c:v>
                </c:pt>
                <c:pt idx="31">
                  <c:v>0.27163406326034079</c:v>
                </c:pt>
                <c:pt idx="32">
                  <c:v>0.28291581508515834</c:v>
                </c:pt>
                <c:pt idx="33">
                  <c:v>0.29430656934306587</c:v>
                </c:pt>
              </c:numCache>
            </c:numRef>
          </c:val>
          <c:extLst>
            <c:ext xmlns:c16="http://schemas.microsoft.com/office/drawing/2014/chart" uri="{C3380CC4-5D6E-409C-BE32-E72D297353CC}">
              <c16:uniqueId val="{00000004-C5EB-4053-8E6D-E828ADAC3C86}"/>
            </c:ext>
          </c:extLst>
        </c:ser>
        <c:ser>
          <c:idx val="12"/>
          <c:order val="4"/>
          <c:tx>
            <c:strRef>
              <c:f>'Stress calculations'!$FF$6</c:f>
              <c:strCache>
                <c:ptCount val="1"/>
                <c:pt idx="0">
                  <c:v>Trips 3-8km (car to cycle/PT)</c:v>
                </c:pt>
              </c:strCache>
            </c:strRef>
          </c:tx>
          <c:spPr>
            <a:solidFill>
              <a:schemeClr val="accent6"/>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calculations'!$FF$123:$FF$156</c:f>
              <c:numCache>
                <c:formatCode>0.00%</c:formatCode>
                <c:ptCount val="34"/>
                <c:pt idx="0">
                  <c:v>0</c:v>
                </c:pt>
                <c:pt idx="1">
                  <c:v>0</c:v>
                </c:pt>
                <c:pt idx="2">
                  <c:v>0</c:v>
                </c:pt>
                <c:pt idx="3">
                  <c:v>0</c:v>
                </c:pt>
                <c:pt idx="4">
                  <c:v>3.50251419302519E-3</c:v>
                </c:pt>
                <c:pt idx="5">
                  <c:v>7.0514193025141784E-3</c:v>
                </c:pt>
                <c:pt idx="6">
                  <c:v>1.0646715328467187E-2</c:v>
                </c:pt>
                <c:pt idx="7">
                  <c:v>1.4288402270883991E-2</c:v>
                </c:pt>
                <c:pt idx="8">
                  <c:v>1.797648012976482E-2</c:v>
                </c:pt>
                <c:pt idx="9">
                  <c:v>2.1710948905109443E-2</c:v>
                </c:pt>
                <c:pt idx="10">
                  <c:v>2.5491808596918089E-2</c:v>
                </c:pt>
                <c:pt idx="11">
                  <c:v>2.9319059205190637E-2</c:v>
                </c:pt>
                <c:pt idx="12">
                  <c:v>3.3192700729926986E-2</c:v>
                </c:pt>
                <c:pt idx="13">
                  <c:v>3.7112733171127371E-2</c:v>
                </c:pt>
                <c:pt idx="14">
                  <c:v>4.1079156528791544E-2</c:v>
                </c:pt>
                <c:pt idx="15">
                  <c:v>4.509197080291974E-2</c:v>
                </c:pt>
                <c:pt idx="16">
                  <c:v>4.9151175993511716E-2</c:v>
                </c:pt>
                <c:pt idx="17">
                  <c:v>5.3256772100567715E-2</c:v>
                </c:pt>
                <c:pt idx="18">
                  <c:v>5.7408759124087522E-2</c:v>
                </c:pt>
                <c:pt idx="19">
                  <c:v>6.1607137064071359E-2</c:v>
                </c:pt>
                <c:pt idx="20">
                  <c:v>6.5851905920519108E-2</c:v>
                </c:pt>
                <c:pt idx="21">
                  <c:v>7.0143065693430651E-2</c:v>
                </c:pt>
                <c:pt idx="22">
                  <c:v>7.4480616382806189E-2</c:v>
                </c:pt>
                <c:pt idx="23">
                  <c:v>7.8864557988645514E-2</c:v>
                </c:pt>
                <c:pt idx="24">
                  <c:v>8.3294890510948905E-2</c:v>
                </c:pt>
                <c:pt idx="25">
                  <c:v>8.7771613949716207E-2</c:v>
                </c:pt>
                <c:pt idx="26">
                  <c:v>9.2294728304947296E-2</c:v>
                </c:pt>
                <c:pt idx="27">
                  <c:v>9.6864233576642381E-2</c:v>
                </c:pt>
                <c:pt idx="28">
                  <c:v>0.10148012976480141</c:v>
                </c:pt>
                <c:pt idx="29">
                  <c:v>0.10614241686942417</c:v>
                </c:pt>
                <c:pt idx="30">
                  <c:v>0.11085109489051102</c:v>
                </c:pt>
                <c:pt idx="31">
                  <c:v>0.11560616382806166</c:v>
                </c:pt>
                <c:pt idx="32">
                  <c:v>0.12040762368207633</c:v>
                </c:pt>
                <c:pt idx="33">
                  <c:v>0.12525547445255486</c:v>
                </c:pt>
              </c:numCache>
            </c:numRef>
          </c:val>
          <c:extLst>
            <c:ext xmlns:c16="http://schemas.microsoft.com/office/drawing/2014/chart" uri="{C3380CC4-5D6E-409C-BE32-E72D297353CC}">
              <c16:uniqueId val="{00000005-C5EB-4053-8E6D-E828ADAC3C86}"/>
            </c:ext>
          </c:extLst>
        </c:ser>
        <c:ser>
          <c:idx val="7"/>
          <c:order val="5"/>
          <c:tx>
            <c:strRef>
              <c:f>'Stress calculations'!$FG$6</c:f>
              <c:strCache>
                <c:ptCount val="1"/>
                <c:pt idx="0">
                  <c:v>Trips &lt; 3km (car to walk/cycle)</c:v>
                </c:pt>
              </c:strCache>
            </c:strRef>
          </c:tx>
          <c:spPr>
            <a:solidFill>
              <a:schemeClr val="accent6">
                <a:lumMod val="60000"/>
                <a:lumOff val="4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calculations'!$FG$123:$FG$156</c:f>
              <c:numCache>
                <c:formatCode>0.00%</c:formatCode>
                <c:ptCount val="34"/>
                <c:pt idx="0">
                  <c:v>0</c:v>
                </c:pt>
                <c:pt idx="1">
                  <c:v>0</c:v>
                </c:pt>
                <c:pt idx="2">
                  <c:v>0</c:v>
                </c:pt>
                <c:pt idx="3">
                  <c:v>0</c:v>
                </c:pt>
                <c:pt idx="4">
                  <c:v>1.6900243309002421E-3</c:v>
                </c:pt>
                <c:pt idx="5">
                  <c:v>3.4024330900243294E-3</c:v>
                </c:pt>
                <c:pt idx="6">
                  <c:v>5.1372262773722597E-3</c:v>
                </c:pt>
                <c:pt idx="7">
                  <c:v>6.894403892944035E-3</c:v>
                </c:pt>
                <c:pt idx="8">
                  <c:v>8.6739659367396551E-3</c:v>
                </c:pt>
                <c:pt idx="9">
                  <c:v>1.0475912408759119E-2</c:v>
                </c:pt>
                <c:pt idx="10">
                  <c:v>1.2300243309002425E-2</c:v>
                </c:pt>
                <c:pt idx="11">
                  <c:v>1.4146958637469575E-2</c:v>
                </c:pt>
                <c:pt idx="12">
                  <c:v>1.6016058394160572E-2</c:v>
                </c:pt>
                <c:pt idx="13">
                  <c:v>1.7907542579075415E-2</c:v>
                </c:pt>
                <c:pt idx="14">
                  <c:v>1.9821411192214103E-2</c:v>
                </c:pt>
                <c:pt idx="15">
                  <c:v>2.1757664233576637E-2</c:v>
                </c:pt>
                <c:pt idx="16">
                  <c:v>2.3716301703163002E-2</c:v>
                </c:pt>
                <c:pt idx="17">
                  <c:v>2.5697323600973213E-2</c:v>
                </c:pt>
                <c:pt idx="18">
                  <c:v>2.770072992700728E-2</c:v>
                </c:pt>
                <c:pt idx="19">
                  <c:v>2.9726520681265189E-2</c:v>
                </c:pt>
                <c:pt idx="20">
                  <c:v>3.1774695863746948E-2</c:v>
                </c:pt>
                <c:pt idx="21">
                  <c:v>3.3845255474452544E-2</c:v>
                </c:pt>
                <c:pt idx="22">
                  <c:v>3.5938199513381973E-2</c:v>
                </c:pt>
                <c:pt idx="23">
                  <c:v>3.8053527980535247E-2</c:v>
                </c:pt>
                <c:pt idx="24">
                  <c:v>4.019124087591238E-2</c:v>
                </c:pt>
                <c:pt idx="25">
                  <c:v>4.2351338199513359E-2</c:v>
                </c:pt>
                <c:pt idx="26">
                  <c:v>4.4533819951338184E-2</c:v>
                </c:pt>
                <c:pt idx="27">
                  <c:v>4.6738686131386833E-2</c:v>
                </c:pt>
                <c:pt idx="28">
                  <c:v>4.8965936739659342E-2</c:v>
                </c:pt>
                <c:pt idx="29">
                  <c:v>5.1215571776155683E-2</c:v>
                </c:pt>
                <c:pt idx="30">
                  <c:v>5.3487591240875883E-2</c:v>
                </c:pt>
                <c:pt idx="31">
                  <c:v>5.5781995133819921E-2</c:v>
                </c:pt>
                <c:pt idx="32">
                  <c:v>5.8098783454987812E-2</c:v>
                </c:pt>
                <c:pt idx="33">
                  <c:v>6.0437956204379528E-2</c:v>
                </c:pt>
              </c:numCache>
            </c:numRef>
          </c:val>
          <c:extLst>
            <c:ext xmlns:c16="http://schemas.microsoft.com/office/drawing/2014/chart" uri="{C3380CC4-5D6E-409C-BE32-E72D297353CC}">
              <c16:uniqueId val="{00000006-C5EB-4053-8E6D-E828ADAC3C86}"/>
            </c:ext>
          </c:extLst>
        </c:ser>
        <c:ser>
          <c:idx val="5"/>
          <c:order val="6"/>
          <c:tx>
            <c:strRef>
              <c:f>'Stress calculations'!$FH$6</c:f>
              <c:strCache>
                <c:ptCount val="1"/>
                <c:pt idx="0">
                  <c:v>Localisation</c:v>
                </c:pt>
              </c:strCache>
            </c:strRef>
          </c:tx>
          <c:spPr>
            <a:solidFill>
              <a:schemeClr val="accent2">
                <a:lumMod val="75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calculations'!$FH$123:$FH$156</c:f>
              <c:numCache>
                <c:formatCode>0.00%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3.4285714285714401E-3</c:v>
                </c:pt>
                <c:pt idx="14">
                  <c:v>6.9000000000000242E-3</c:v>
                </c:pt>
                <c:pt idx="15">
                  <c:v>1.0414285714285753E-2</c:v>
                </c:pt>
                <c:pt idx="16">
                  <c:v>1.3971428571428619E-2</c:v>
                </c:pt>
                <c:pt idx="17">
                  <c:v>1.7571428571428627E-2</c:v>
                </c:pt>
                <c:pt idx="18">
                  <c:v>2.1214285714285661E-2</c:v>
                </c:pt>
                <c:pt idx="19">
                  <c:v>2.489999999999996E-2</c:v>
                </c:pt>
                <c:pt idx="20">
                  <c:v>2.8628571428571406E-2</c:v>
                </c:pt>
                <c:pt idx="21">
                  <c:v>3.2399999999999991E-2</c:v>
                </c:pt>
                <c:pt idx="22">
                  <c:v>3.6214285714285713E-2</c:v>
                </c:pt>
                <c:pt idx="23">
                  <c:v>4.007142857142857E-2</c:v>
                </c:pt>
                <c:pt idx="24">
                  <c:v>4.3971428571428592E-2</c:v>
                </c:pt>
                <c:pt idx="25">
                  <c:v>4.791428571428575E-2</c:v>
                </c:pt>
                <c:pt idx="26">
                  <c:v>5.1900000000000057E-2</c:v>
                </c:pt>
                <c:pt idx="27">
                  <c:v>5.592857142857148E-2</c:v>
                </c:pt>
                <c:pt idx="28">
                  <c:v>5.9999999999999949E-2</c:v>
                </c:pt>
                <c:pt idx="29">
                  <c:v>6.4114285714285651E-2</c:v>
                </c:pt>
                <c:pt idx="30">
                  <c:v>6.8271428571428538E-2</c:v>
                </c:pt>
                <c:pt idx="31">
                  <c:v>7.2471428571428562E-2</c:v>
                </c:pt>
                <c:pt idx="32">
                  <c:v>7.6714285714285721E-2</c:v>
                </c:pt>
                <c:pt idx="33">
                  <c:v>8.1000000000000003E-2</c:v>
                </c:pt>
              </c:numCache>
            </c:numRef>
          </c:val>
          <c:extLst>
            <c:ext xmlns:c16="http://schemas.microsoft.com/office/drawing/2014/chart" uri="{C3380CC4-5D6E-409C-BE32-E72D297353CC}">
              <c16:uniqueId val="{00000007-C5EB-4053-8E6D-E828ADAC3C86}"/>
            </c:ext>
          </c:extLst>
        </c:ser>
        <c:ser>
          <c:idx val="9"/>
          <c:order val="7"/>
          <c:tx>
            <c:strRef>
              <c:f>'Stress calculations'!$FI$6</c:f>
              <c:strCache>
                <c:ptCount val="1"/>
                <c:pt idx="0">
                  <c:v>Home delivery</c:v>
                </c:pt>
              </c:strCache>
            </c:strRef>
          </c:tx>
          <c:spPr>
            <a:solidFill>
              <a:schemeClr val="accent2"/>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calculations'!$FI$123:$FI$156</c:f>
              <c:numCache>
                <c:formatCode>0.00%</c:formatCode>
                <c:ptCount val="34"/>
                <c:pt idx="0">
                  <c:v>0</c:v>
                </c:pt>
                <c:pt idx="1">
                  <c:v>0</c:v>
                </c:pt>
                <c:pt idx="2">
                  <c:v>0</c:v>
                </c:pt>
                <c:pt idx="3">
                  <c:v>0</c:v>
                </c:pt>
                <c:pt idx="4">
                  <c:v>0</c:v>
                </c:pt>
                <c:pt idx="5">
                  <c:v>0</c:v>
                </c:pt>
                <c:pt idx="6">
                  <c:v>0</c:v>
                </c:pt>
                <c:pt idx="7">
                  <c:v>0</c:v>
                </c:pt>
                <c:pt idx="8">
                  <c:v>8.9423076923081206E-4</c:v>
                </c:pt>
                <c:pt idx="9">
                  <c:v>1.7999999999999707E-3</c:v>
                </c:pt>
                <c:pt idx="10">
                  <c:v>2.7173076923077059E-3</c:v>
                </c:pt>
                <c:pt idx="11">
                  <c:v>3.6461538461539022E-3</c:v>
                </c:pt>
                <c:pt idx="12">
                  <c:v>4.5865384615384449E-3</c:v>
                </c:pt>
                <c:pt idx="13">
                  <c:v>5.5384615384615659E-3</c:v>
                </c:pt>
                <c:pt idx="14">
                  <c:v>6.501923076923031E-3</c:v>
                </c:pt>
                <c:pt idx="15">
                  <c:v>7.4769230769230763E-3</c:v>
                </c:pt>
                <c:pt idx="16">
                  <c:v>8.4634615384615811E-3</c:v>
                </c:pt>
                <c:pt idx="17">
                  <c:v>9.4615384615384258E-3</c:v>
                </c:pt>
                <c:pt idx="18">
                  <c:v>1.0471153846153856E-2</c:v>
                </c:pt>
                <c:pt idx="19">
                  <c:v>1.149230769230775E-2</c:v>
                </c:pt>
                <c:pt idx="20">
                  <c:v>1.2524999999999982E-2</c:v>
                </c:pt>
                <c:pt idx="21">
                  <c:v>1.35692307692308E-2</c:v>
                </c:pt>
                <c:pt idx="22">
                  <c:v>1.4624999999999949E-2</c:v>
                </c:pt>
                <c:pt idx="23">
                  <c:v>1.5692307692307682E-2</c:v>
                </c:pt>
                <c:pt idx="24">
                  <c:v>1.6771153846153887E-2</c:v>
                </c:pt>
                <c:pt idx="25">
                  <c:v>1.7861538461538425E-2</c:v>
                </c:pt>
                <c:pt idx="26">
                  <c:v>1.8963461538461551E-2</c:v>
                </c:pt>
                <c:pt idx="27">
                  <c:v>2.0076923076923135E-2</c:v>
                </c:pt>
                <c:pt idx="28">
                  <c:v>2.1201923076923056E-2</c:v>
                </c:pt>
                <c:pt idx="29">
                  <c:v>2.233846153846156E-2</c:v>
                </c:pt>
                <c:pt idx="30">
                  <c:v>2.3486538461538402E-2</c:v>
                </c:pt>
                <c:pt idx="31">
                  <c:v>2.4646153846153838E-2</c:v>
                </c:pt>
                <c:pt idx="32">
                  <c:v>2.581730769230774E-2</c:v>
                </c:pt>
                <c:pt idx="33">
                  <c:v>2.6999999999999958E-2</c:v>
                </c:pt>
              </c:numCache>
            </c:numRef>
          </c:val>
          <c:extLst>
            <c:ext xmlns:c16="http://schemas.microsoft.com/office/drawing/2014/chart" uri="{C3380CC4-5D6E-409C-BE32-E72D297353CC}">
              <c16:uniqueId val="{00000008-C5EB-4053-8E6D-E828ADAC3C86}"/>
            </c:ext>
          </c:extLst>
        </c:ser>
        <c:ser>
          <c:idx val="6"/>
          <c:order val="8"/>
          <c:tx>
            <c:strRef>
              <c:f>'Stress calculations'!$FJ$6</c:f>
              <c:strCache>
                <c:ptCount val="1"/>
                <c:pt idx="0">
                  <c:v>Online / Teleservices</c:v>
                </c:pt>
              </c:strCache>
            </c:strRef>
          </c:tx>
          <c:spPr>
            <a:solidFill>
              <a:schemeClr val="accent2">
                <a:lumMod val="60000"/>
                <a:lumOff val="4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calculations'!$FJ$123:$FJ$156</c:f>
              <c:numCache>
                <c:formatCode>0.00%</c:formatCode>
                <c:ptCount val="34"/>
                <c:pt idx="0">
                  <c:v>0</c:v>
                </c:pt>
                <c:pt idx="1">
                  <c:v>0</c:v>
                </c:pt>
                <c:pt idx="2">
                  <c:v>0</c:v>
                </c:pt>
                <c:pt idx="3">
                  <c:v>0</c:v>
                </c:pt>
                <c:pt idx="4">
                  <c:v>0</c:v>
                </c:pt>
                <c:pt idx="5">
                  <c:v>0</c:v>
                </c:pt>
                <c:pt idx="6">
                  <c:v>2.5499999999997194E-4</c:v>
                </c:pt>
                <c:pt idx="7">
                  <c:v>5.1333333333327682E-4</c:v>
                </c:pt>
                <c:pt idx="8">
                  <c:v>7.7500000000002946E-4</c:v>
                </c:pt>
                <c:pt idx="9">
                  <c:v>1.040000000000001E-3</c:v>
                </c:pt>
                <c:pt idx="10">
                  <c:v>1.3083333333333055E-3</c:v>
                </c:pt>
                <c:pt idx="11">
                  <c:v>1.5799999999999423E-3</c:v>
                </c:pt>
                <c:pt idx="12">
                  <c:v>1.8550000000000307E-3</c:v>
                </c:pt>
                <c:pt idx="13">
                  <c:v>2.1333333333333352E-3</c:v>
                </c:pt>
                <c:pt idx="14">
                  <c:v>2.4149999999999727E-3</c:v>
                </c:pt>
                <c:pt idx="15">
                  <c:v>2.6999999999999433E-3</c:v>
                </c:pt>
                <c:pt idx="16">
                  <c:v>2.9883333333333663E-3</c:v>
                </c:pt>
                <c:pt idx="17">
                  <c:v>3.2800000000000021E-3</c:v>
                </c:pt>
                <c:pt idx="18">
                  <c:v>3.5749999999999723E-3</c:v>
                </c:pt>
                <c:pt idx="19">
                  <c:v>3.8733333333332755E-3</c:v>
                </c:pt>
                <c:pt idx="20">
                  <c:v>4.1750000000000355E-3</c:v>
                </c:pt>
                <c:pt idx="21">
                  <c:v>4.4800000000000057E-3</c:v>
                </c:pt>
                <c:pt idx="22">
                  <c:v>4.7883333333333068E-3</c:v>
                </c:pt>
                <c:pt idx="23">
                  <c:v>5.0999999999999405E-3</c:v>
                </c:pt>
                <c:pt idx="24">
                  <c:v>5.4150000000000361E-3</c:v>
                </c:pt>
                <c:pt idx="25">
                  <c:v>5.7333333333333385E-3</c:v>
                </c:pt>
                <c:pt idx="26">
                  <c:v>6.0549999999999745E-3</c:v>
                </c:pt>
                <c:pt idx="27">
                  <c:v>6.3799999999999404E-3</c:v>
                </c:pt>
                <c:pt idx="28">
                  <c:v>6.7083333333333717E-3</c:v>
                </c:pt>
                <c:pt idx="29">
                  <c:v>7.0400000000000046E-3</c:v>
                </c:pt>
                <c:pt idx="30">
                  <c:v>7.3749999999999736E-3</c:v>
                </c:pt>
                <c:pt idx="31">
                  <c:v>7.7133333333332752E-3</c:v>
                </c:pt>
                <c:pt idx="32">
                  <c:v>8.0550000000000413E-3</c:v>
                </c:pt>
                <c:pt idx="33">
                  <c:v>8.4000000000000064E-3</c:v>
                </c:pt>
              </c:numCache>
            </c:numRef>
          </c:val>
          <c:extLst>
            <c:ext xmlns:c16="http://schemas.microsoft.com/office/drawing/2014/chart" uri="{C3380CC4-5D6E-409C-BE32-E72D297353CC}">
              <c16:uniqueId val="{00000009-C5EB-4053-8E6D-E828ADAC3C86}"/>
            </c:ext>
          </c:extLst>
        </c:ser>
        <c:ser>
          <c:idx val="3"/>
          <c:order val="9"/>
          <c:tx>
            <c:strRef>
              <c:f>'Stress calculations'!$FK$6</c:f>
              <c:strCache>
                <c:ptCount val="1"/>
                <c:pt idx="0">
                  <c:v>Work from Home</c:v>
                </c:pt>
              </c:strCache>
            </c:strRef>
          </c:tx>
          <c:spPr>
            <a:solidFill>
              <a:schemeClr val="accent2">
                <a:lumMod val="20000"/>
                <a:lumOff val="8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calculations'!$FK$123:$FK$156</c:f>
              <c:numCache>
                <c:formatCode>0.00%</c:formatCode>
                <c:ptCount val="34"/>
                <c:pt idx="0">
                  <c:v>0</c:v>
                </c:pt>
                <c:pt idx="1">
                  <c:v>0</c:v>
                </c:pt>
                <c:pt idx="2">
                  <c:v>0</c:v>
                </c:pt>
                <c:pt idx="3">
                  <c:v>0</c:v>
                </c:pt>
                <c:pt idx="4">
                  <c:v>9.6639999999996061E-4</c:v>
                </c:pt>
                <c:pt idx="5">
                  <c:v>1.9456000000000334E-3</c:v>
                </c:pt>
                <c:pt idx="6">
                  <c:v>2.9375999999999938E-3</c:v>
                </c:pt>
                <c:pt idx="7">
                  <c:v>3.9423999999999536E-3</c:v>
                </c:pt>
                <c:pt idx="8">
                  <c:v>4.9600000000000278E-3</c:v>
                </c:pt>
                <c:pt idx="9">
                  <c:v>5.9903999999999869E-3</c:v>
                </c:pt>
                <c:pt idx="10">
                  <c:v>7.0335999999999455E-3</c:v>
                </c:pt>
                <c:pt idx="11">
                  <c:v>8.089600000000018E-3</c:v>
                </c:pt>
                <c:pt idx="12">
                  <c:v>9.158399999999978E-3</c:v>
                </c:pt>
                <c:pt idx="13">
                  <c:v>1.0240000000000056E-2</c:v>
                </c:pt>
                <c:pt idx="14">
                  <c:v>1.1334400000000017E-2</c:v>
                </c:pt>
                <c:pt idx="15">
                  <c:v>1.2441599999999976E-2</c:v>
                </c:pt>
                <c:pt idx="16">
                  <c:v>1.356160000000005E-2</c:v>
                </c:pt>
                <c:pt idx="17">
                  <c:v>1.4694400000000005E-2</c:v>
                </c:pt>
                <c:pt idx="18">
                  <c:v>1.5839999999999962E-2</c:v>
                </c:pt>
                <c:pt idx="19">
                  <c:v>1.6998400000000045E-2</c:v>
                </c:pt>
                <c:pt idx="20">
                  <c:v>1.8169600000000004E-2</c:v>
                </c:pt>
                <c:pt idx="21">
                  <c:v>1.9353599999999964E-2</c:v>
                </c:pt>
                <c:pt idx="22">
                  <c:v>2.0550400000000038E-2</c:v>
                </c:pt>
                <c:pt idx="23">
                  <c:v>2.1759999999999988E-2</c:v>
                </c:pt>
                <c:pt idx="24">
                  <c:v>2.2982399999999948E-2</c:v>
                </c:pt>
                <c:pt idx="25">
                  <c:v>2.4217600000000034E-2</c:v>
                </c:pt>
                <c:pt idx="26">
                  <c:v>2.5465599999999991E-2</c:v>
                </c:pt>
                <c:pt idx="27">
                  <c:v>2.6726399999999938E-2</c:v>
                </c:pt>
                <c:pt idx="28">
                  <c:v>2.8000000000000028E-2</c:v>
                </c:pt>
                <c:pt idx="29">
                  <c:v>2.9286399999999973E-2</c:v>
                </c:pt>
                <c:pt idx="30">
                  <c:v>3.0585599999999932E-2</c:v>
                </c:pt>
                <c:pt idx="31">
                  <c:v>3.1897600000000019E-2</c:v>
                </c:pt>
                <c:pt idx="32">
                  <c:v>3.3222399999999978E-2</c:v>
                </c:pt>
                <c:pt idx="33">
                  <c:v>3.4559999999999924E-2</c:v>
                </c:pt>
              </c:numCache>
            </c:numRef>
          </c:val>
          <c:extLst>
            <c:ext xmlns:c16="http://schemas.microsoft.com/office/drawing/2014/chart" uri="{C3380CC4-5D6E-409C-BE32-E72D297353CC}">
              <c16:uniqueId val="{0000000A-C5EB-4053-8E6D-E828ADAC3C86}"/>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0-C5EB-4053-8E6D-E828ADAC3C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1-C5EB-4053-8E6D-E828ADAC3C86}"/>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0C-C5EB-4053-8E6D-E828ADAC3C86}"/>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0C-C5EB-4053-8E6D-E828ADAC3C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0D-C5EB-4053-8E6D-E828ADAC3C86}"/>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calculations'!$EX$123:$EX$156</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0E-C5EB-4053-8E6D-E828ADAC3C86}"/>
            </c:ext>
          </c:extLst>
        </c:ser>
        <c:ser>
          <c:idx val="14"/>
          <c:order val="14"/>
          <c:tx>
            <c:strRef>
              <c:f>'Stress calculations'!$FM$122</c:f>
              <c:strCache>
                <c:ptCount val="1"/>
                <c:pt idx="0">
                  <c:v>Fit for 55' and Green Deal target </c:v>
                </c:pt>
              </c:strCache>
            </c:strRef>
          </c:tx>
          <c:spPr>
            <a:ln w="28575" cap="rnd">
              <a:solidFill>
                <a:schemeClr val="accent3">
                  <a:lumMod val="80000"/>
                  <a:lumOff val="20000"/>
                </a:schemeClr>
              </a:solidFill>
              <a:prstDash val="dash"/>
              <a:round/>
            </a:ln>
            <a:effectLst/>
          </c:spPr>
          <c:marker>
            <c:symbol val="none"/>
          </c:marker>
          <c:cat>
            <c:numRef>
              <c:f>'Stress calculations'!$EX$123:$EX$156</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calculations'!$FM$123:$FM$156</c:f>
              <c:numCache>
                <c:formatCode>0.00%</c:formatCode>
                <c:ptCount val="34"/>
                <c:pt idx="0">
                  <c:v>#N/A</c:v>
                </c:pt>
                <c:pt idx="1">
                  <c:v>#N/A</c:v>
                </c:pt>
                <c:pt idx="2">
                  <c:v>#N/A</c:v>
                </c:pt>
                <c:pt idx="3">
                  <c:v>0.95</c:v>
                </c:pt>
                <c:pt idx="4" formatCode="0.0%">
                  <c:v>0.89999999999999991</c:v>
                </c:pt>
                <c:pt idx="5" formatCode="0.0%">
                  <c:v>0.84999999999999987</c:v>
                </c:pt>
                <c:pt idx="6" formatCode="0.0%">
                  <c:v>0.79999999999999982</c:v>
                </c:pt>
                <c:pt idx="7" formatCode="0.0%">
                  <c:v>0.74999999999999978</c:v>
                </c:pt>
                <c:pt idx="8" formatCode="0.0%">
                  <c:v>0.69999999999999973</c:v>
                </c:pt>
                <c:pt idx="9" formatCode="0.0%">
                  <c:v>0.64999999999999969</c:v>
                </c:pt>
                <c:pt idx="10" formatCode="0.0%">
                  <c:v>0.59999999999999964</c:v>
                </c:pt>
                <c:pt idx="11" formatCode="0.0%">
                  <c:v>0.5499999999999996</c:v>
                </c:pt>
                <c:pt idx="12" formatCode="0.0%">
                  <c:v>0.49999999999999961</c:v>
                </c:pt>
                <c:pt idx="13" formatCode="0.0%">
                  <c:v>0.44999999999999962</c:v>
                </c:pt>
                <c:pt idx="14" formatCode="0.0%">
                  <c:v>0.43249999999999966</c:v>
                </c:pt>
                <c:pt idx="15" formatCode="0.0%">
                  <c:v>0.4149999999999997</c:v>
                </c:pt>
                <c:pt idx="16" formatCode="0.0%">
                  <c:v>0.39749999999999974</c:v>
                </c:pt>
                <c:pt idx="17" formatCode="0.0%">
                  <c:v>0.37999999999999978</c:v>
                </c:pt>
                <c:pt idx="18" formatCode="0.0%">
                  <c:v>0.36249999999999982</c:v>
                </c:pt>
                <c:pt idx="19" formatCode="0.0%">
                  <c:v>0.34499999999999986</c:v>
                </c:pt>
                <c:pt idx="20" formatCode="0.0%">
                  <c:v>0.3274999999999999</c:v>
                </c:pt>
                <c:pt idx="21" formatCode="0.0%">
                  <c:v>0.30999999999999994</c:v>
                </c:pt>
                <c:pt idx="22" formatCode="0.0%">
                  <c:v>0.29249999999999998</c:v>
                </c:pt>
                <c:pt idx="23" formatCode="0.0%">
                  <c:v>0.27500000000000002</c:v>
                </c:pt>
                <c:pt idx="24" formatCode="0.0%">
                  <c:v>0.25750000000000006</c:v>
                </c:pt>
                <c:pt idx="25" formatCode="0.0%">
                  <c:v>0.24000000000000007</c:v>
                </c:pt>
                <c:pt idx="26" formatCode="0.0%">
                  <c:v>0.22250000000000009</c:v>
                </c:pt>
                <c:pt idx="27" formatCode="0.0%">
                  <c:v>0.2050000000000001</c:v>
                </c:pt>
                <c:pt idx="28" formatCode="0.0%">
                  <c:v>0.18750000000000011</c:v>
                </c:pt>
                <c:pt idx="29" formatCode="0.0%">
                  <c:v>0.17000000000000012</c:v>
                </c:pt>
                <c:pt idx="30" formatCode="0.0%">
                  <c:v>0.15250000000000014</c:v>
                </c:pt>
                <c:pt idx="31" formatCode="0.0%">
                  <c:v>0.13500000000000015</c:v>
                </c:pt>
                <c:pt idx="32" formatCode="0.0%">
                  <c:v>0.11750000000000016</c:v>
                </c:pt>
                <c:pt idx="33" formatCode="0.0%">
                  <c:v>0.10000000000000017</c:v>
                </c:pt>
              </c:numCache>
            </c:numRef>
          </c:val>
          <c:smooth val="0"/>
          <c:extLst>
            <c:ext xmlns:c16="http://schemas.microsoft.com/office/drawing/2014/chart" uri="{C3380CC4-5D6E-409C-BE32-E72D297353CC}">
              <c16:uniqueId val="{0000000F-C5EB-4053-8E6D-E828ADAC3C86}"/>
            </c:ext>
          </c:extLst>
        </c:ser>
        <c:dLbls>
          <c:showLegendKey val="0"/>
          <c:showVal val="0"/>
          <c:showCatName val="0"/>
          <c:showSerName val="0"/>
          <c:showPercent val="0"/>
          <c:showBubbleSize val="0"/>
        </c:dLbls>
        <c:marker val="1"/>
        <c:smooth val="0"/>
        <c:axId val="1161073112"/>
        <c:axId val="1161076392"/>
        <c:extLst>
          <c:ext xmlns:c15="http://schemas.microsoft.com/office/drawing/2012/chart" uri="{02D57815-91ED-43cb-92C2-25804820EDAC}">
            <c15:filteredLineSeries>
              <c15:ser>
                <c:idx val="13"/>
                <c:order val="13"/>
                <c:tx>
                  <c:strRef>
                    <c:extLst>
                      <c:ext uri="{02D57815-91ED-43cb-92C2-25804820EDAC}">
                        <c15:formulaRef>
                          <c15:sqref>'Stress calculations'!$FL$122</c15:sqref>
                        </c15:formulaRef>
                      </c:ext>
                    </c:extLst>
                    <c:strCache>
                      <c:ptCount val="1"/>
                      <c:pt idx="0">
                        <c:v>Green deal target </c:v>
                      </c:pt>
                    </c:strCache>
                  </c:strRef>
                </c:tx>
                <c:spPr>
                  <a:ln w="28575" cap="rnd">
                    <a:solidFill>
                      <a:schemeClr val="accent2">
                        <a:lumMod val="80000"/>
                        <a:lumOff val="20000"/>
                      </a:schemeClr>
                    </a:solidFill>
                    <a:prstDash val="dash"/>
                    <a:round/>
                  </a:ln>
                  <a:effectLst/>
                </c:spPr>
                <c:marker>
                  <c:symbol val="none"/>
                </c:marker>
                <c:cat>
                  <c:numRef>
                    <c:extLst>
                      <c:ext uri="{02D57815-91ED-43cb-92C2-25804820EDAC}">
                        <c15:formulaRef>
                          <c15:sqref>'Stress calculations'!$EX$123:$EX$156</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calculations'!$FL$123:$FL$156</c15:sqref>
                        </c15:formulaRef>
                      </c:ext>
                    </c:extLst>
                    <c:numCache>
                      <c:formatCode>0%</c:formatCode>
                      <c:ptCount val="34"/>
                      <c:pt idx="0">
                        <c:v>#N/A</c:v>
                      </c:pt>
                      <c:pt idx="1">
                        <c:v>#N/A</c:v>
                      </c:pt>
                      <c:pt idx="2">
                        <c:v>#N/A</c:v>
                      </c:pt>
                      <c:pt idx="3" formatCode="0.00%">
                        <c:v>#N/A</c:v>
                      </c:pt>
                      <c:pt idx="4" formatCode="0.0%">
                        <c:v>#N/A</c:v>
                      </c:pt>
                      <c:pt idx="5" formatCode="0.0%">
                        <c:v>#N/A</c:v>
                      </c:pt>
                      <c:pt idx="6" formatCode="0.0%">
                        <c:v>#N/A</c:v>
                      </c:pt>
                      <c:pt idx="7" formatCode="0.0%">
                        <c:v>#N/A</c:v>
                      </c:pt>
                      <c:pt idx="8" formatCode="0.0%">
                        <c:v>#N/A</c:v>
                      </c:pt>
                      <c:pt idx="9" formatCode="0.0%">
                        <c:v>#N/A</c:v>
                      </c:pt>
                      <c:pt idx="10" formatCode="0.0%">
                        <c:v>#N/A</c:v>
                      </c:pt>
                      <c:pt idx="11" formatCode="0.0%">
                        <c:v>#N/A</c:v>
                      </c:pt>
                      <c:pt idx="12" formatCode="0.0%">
                        <c:v>#N/A</c:v>
                      </c:pt>
                      <c:pt idx="13" formatCode="0.0%">
                        <c:v>#N/A</c:v>
                      </c:pt>
                      <c:pt idx="14" formatCode="0.0%">
                        <c:v>#N/A</c:v>
                      </c:pt>
                      <c:pt idx="15" formatCode="0.0%">
                        <c:v>#N/A</c:v>
                      </c:pt>
                      <c:pt idx="16" formatCode="0.0%">
                        <c:v>#N/A</c:v>
                      </c:pt>
                      <c:pt idx="17" formatCode="0.0%">
                        <c:v>#N/A</c:v>
                      </c:pt>
                      <c:pt idx="18" formatCode="0.0%">
                        <c:v>#N/A</c:v>
                      </c:pt>
                      <c:pt idx="19" formatCode="0.0%">
                        <c:v>#N/A</c:v>
                      </c:pt>
                      <c:pt idx="20" formatCode="0.0%">
                        <c:v>#N/A</c:v>
                      </c:pt>
                      <c:pt idx="21" formatCode="0.0%">
                        <c:v>#N/A</c:v>
                      </c:pt>
                      <c:pt idx="22" formatCode="0.0%">
                        <c:v>#N/A</c:v>
                      </c:pt>
                      <c:pt idx="23" formatCode="0.0%">
                        <c:v>#N/A</c:v>
                      </c:pt>
                      <c:pt idx="24" formatCode="0.0%">
                        <c:v>#N/A</c:v>
                      </c:pt>
                      <c:pt idx="25" formatCode="0.0%">
                        <c:v>#N/A</c:v>
                      </c:pt>
                      <c:pt idx="26" formatCode="0.0%">
                        <c:v>#N/A</c:v>
                      </c:pt>
                      <c:pt idx="27" formatCode="0.0%">
                        <c:v>#N/A</c:v>
                      </c:pt>
                      <c:pt idx="28" formatCode="0.0%">
                        <c:v>#N/A</c:v>
                      </c:pt>
                      <c:pt idx="29" formatCode="0.0%">
                        <c:v>#N/A</c:v>
                      </c:pt>
                      <c:pt idx="30" formatCode="0.0%">
                        <c:v>#N/A</c:v>
                      </c:pt>
                      <c:pt idx="31" formatCode="0.0%">
                        <c:v>#N/A</c:v>
                      </c:pt>
                      <c:pt idx="32" formatCode="0.0%">
                        <c:v>#N/A</c:v>
                      </c:pt>
                      <c:pt idx="33" formatCode="0.0%">
                        <c:v>#N/A</c:v>
                      </c:pt>
                    </c:numCache>
                  </c:numRef>
                </c:val>
                <c:smooth val="0"/>
                <c:extLst>
                  <c:ext xmlns:c16="http://schemas.microsoft.com/office/drawing/2014/chart" uri="{C3380CC4-5D6E-409C-BE32-E72D297353CC}">
                    <c16:uniqueId val="{00000012-C5EB-4053-8E6D-E828ADAC3C86}"/>
                  </c:ext>
                </c:extLst>
              </c15:ser>
            </c15:filteredLineSeries>
          </c:ext>
        </c:extLst>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legend>
      <c:legendPos val="b"/>
      <c:legendEntry>
        <c:idx val="10"/>
        <c:delete val="1"/>
      </c:legendEntry>
      <c:legendEntry>
        <c:idx val="11"/>
        <c:delete val="1"/>
      </c:legendEntry>
      <c:layout>
        <c:manualLayout>
          <c:xMode val="edge"/>
          <c:yMode val="edge"/>
          <c:x val="1.6103306007981877E-2"/>
          <c:y val="0.7943775623088436"/>
          <c:w val="0.96436873044978966"/>
          <c:h val="0.201490206286197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20%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calculations'!$HI$6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calculations'!$HI$7:$HI$40</c:f>
              <c:numCache>
                <c:formatCode>0%</c:formatCode>
                <c:ptCount val="34"/>
                <c:pt idx="0">
                  <c:v>1</c:v>
                </c:pt>
                <c:pt idx="1">
                  <c:v>0.98333333333333328</c:v>
                </c:pt>
                <c:pt idx="2">
                  <c:v>0.96666666666666656</c:v>
                </c:pt>
                <c:pt idx="3" formatCode="0.00%">
                  <c:v>0.95</c:v>
                </c:pt>
                <c:pt idx="4" formatCode="0.00%">
                  <c:v>0.937254185620915</c:v>
                </c:pt>
                <c:pt idx="5" formatCode="0.00%">
                  <c:v>0.92425125228758165</c:v>
                </c:pt>
                <c:pt idx="6" formatCode="0.00%">
                  <c:v>0.90929175203060864</c:v>
                </c:pt>
                <c:pt idx="7" formatCode="0.00%">
                  <c:v>0.89390870653533849</c:v>
                </c:pt>
                <c:pt idx="8" formatCode="0.00%">
                  <c:v>0.87720507572193129</c:v>
                </c:pt>
                <c:pt idx="9" formatCode="0.00%">
                  <c:v>0.86006074258747156</c:v>
                </c:pt>
                <c:pt idx="10" formatCode="0.00%">
                  <c:v>0.8424728978213496</c:v>
                </c:pt>
                <c:pt idx="11" formatCode="0.00%">
                  <c:v>0.82443873211295715</c:v>
                </c:pt>
                <c:pt idx="12" formatCode="0.00%">
                  <c:v>0.80595543615168586</c:v>
                </c:pt>
                <c:pt idx="13" formatCode="0.00%">
                  <c:v>0.78359162919835479</c:v>
                </c:pt>
                <c:pt idx="14" formatCode="0.00%">
                  <c:v>0.76073021622807024</c:v>
                </c:pt>
                <c:pt idx="15" formatCode="0.00%">
                  <c:v>0.73736838793022341</c:v>
                </c:pt>
                <c:pt idx="16" formatCode="0.00%">
                  <c:v>0.71350333499420526</c:v>
                </c:pt>
                <c:pt idx="17" formatCode="0.00%">
                  <c:v>0.68913224810940754</c:v>
                </c:pt>
                <c:pt idx="18" formatCode="0.00%">
                  <c:v>0.66425231796522133</c:v>
                </c:pt>
                <c:pt idx="19" formatCode="0.00%">
                  <c:v>0.63886073525103759</c:v>
                </c:pt>
                <c:pt idx="20" formatCode="0.00%">
                  <c:v>0.61295469065624797</c:v>
                </c:pt>
                <c:pt idx="21" formatCode="0.00%">
                  <c:v>0.59212083369377355</c:v>
                </c:pt>
                <c:pt idx="22" formatCode="0.00%">
                  <c:v>0.57083343740594628</c:v>
                </c:pt>
                <c:pt idx="23" formatCode="0.00%">
                  <c:v>0.54908969248215755</c:v>
                </c:pt>
                <c:pt idx="24" formatCode="0.00%">
                  <c:v>0.5288044948610261</c:v>
                </c:pt>
                <c:pt idx="25" formatCode="0.00%">
                  <c:v>0.50938533466073599</c:v>
                </c:pt>
                <c:pt idx="26" formatCode="0.00%">
                  <c:v>0.48970101188128723</c:v>
                </c:pt>
                <c:pt idx="27" formatCode="0.00%">
                  <c:v>0.46975152652267937</c:v>
                </c:pt>
                <c:pt idx="28" formatCode="0.00%">
                  <c:v>0.44953687858491254</c:v>
                </c:pt>
                <c:pt idx="29" formatCode="0.00%">
                  <c:v>0.42905706806798705</c:v>
                </c:pt>
                <c:pt idx="30" formatCode="0.00%">
                  <c:v>0.40831209497190257</c:v>
                </c:pt>
                <c:pt idx="31" formatCode="0.00%">
                  <c:v>0.38730195929665923</c:v>
                </c:pt>
                <c:pt idx="32" formatCode="0.00%">
                  <c:v>0.36602666104225656</c:v>
                </c:pt>
                <c:pt idx="33" formatCode="0.00%">
                  <c:v>0.34448620020869547</c:v>
                </c:pt>
              </c:numCache>
            </c:numRef>
          </c:val>
          <c:extLst>
            <c:ext xmlns:c16="http://schemas.microsoft.com/office/drawing/2014/chart" uri="{C3380CC4-5D6E-409C-BE32-E72D297353CC}">
              <c16:uniqueId val="{00000000-0DD5-41EB-AB17-BEF67A2FF221}"/>
            </c:ext>
          </c:extLst>
        </c:ser>
        <c:ser>
          <c:idx val="11"/>
          <c:order val="1"/>
          <c:tx>
            <c:strRef>
              <c:f>'Stress calculations'!$HK$6</c:f>
              <c:strCache>
                <c:ptCount val="1"/>
                <c:pt idx="0">
                  <c:v>20%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calculations'!$HK$7:$HK$40</c:f>
              <c:numCache>
                <c:formatCode>0.00%</c:formatCode>
                <c:ptCount val="34"/>
                <c:pt idx="0">
                  <c:v>0</c:v>
                </c:pt>
                <c:pt idx="1">
                  <c:v>0</c:v>
                </c:pt>
                <c:pt idx="2">
                  <c:v>0</c:v>
                </c:pt>
                <c:pt idx="3">
                  <c:v>0</c:v>
                </c:pt>
                <c:pt idx="4" formatCode="0.0%">
                  <c:v>0</c:v>
                </c:pt>
                <c:pt idx="5" formatCode="0.0%">
                  <c:v>0</c:v>
                </c:pt>
                <c:pt idx="6" formatCode="0.0%">
                  <c:v>2.4625279693913042E-3</c:v>
                </c:pt>
                <c:pt idx="7" formatCode="0.0%">
                  <c:v>5.1014571247922696E-3</c:v>
                </c:pt>
                <c:pt idx="8" formatCode="0.0%">
                  <c:v>7.9195967768115934E-3</c:v>
                </c:pt>
                <c:pt idx="9" formatCode="0.0%">
                  <c:v>1.0919756236057969E-2</c:v>
                </c:pt>
                <c:pt idx="10" formatCode="0.0%">
                  <c:v>1.4104744813140096E-2</c:v>
                </c:pt>
                <c:pt idx="11" formatCode="0.0%">
                  <c:v>1.7477371818666661E-2</c:v>
                </c:pt>
                <c:pt idx="12" formatCode="0.0%">
                  <c:v>2.1040446563246374E-2</c:v>
                </c:pt>
                <c:pt idx="13" formatCode="0.0%">
                  <c:v>2.4796778357487916E-2</c:v>
                </c:pt>
                <c:pt idx="14" formatCode="0.0%">
                  <c:v>2.8749176512000003E-2</c:v>
                </c:pt>
                <c:pt idx="15" formatCode="0.0%">
                  <c:v>3.2900450337391314E-2</c:v>
                </c:pt>
                <c:pt idx="16" formatCode="0.0%">
                  <c:v>3.7253409144270527E-2</c:v>
                </c:pt>
                <c:pt idx="17" formatCode="0.0%">
                  <c:v>4.1810862243246365E-2</c:v>
                </c:pt>
                <c:pt idx="18" formatCode="0.0%">
                  <c:v>4.6575618944927524E-2</c:v>
                </c:pt>
                <c:pt idx="19" formatCode="0.0%">
                  <c:v>5.1550488559922704E-2</c:v>
                </c:pt>
                <c:pt idx="20" formatCode="0.0%">
                  <c:v>5.6738280398840581E-2</c:v>
                </c:pt>
                <c:pt idx="21" formatCode="0.0%">
                  <c:v>6.2141803772289866E-2</c:v>
                </c:pt>
                <c:pt idx="22" formatCode="0.0%">
                  <c:v>6.7763867990879231E-2</c:v>
                </c:pt>
                <c:pt idx="23" formatCode="0.0%">
                  <c:v>7.3607282365217366E-2</c:v>
                </c:pt>
                <c:pt idx="24" formatCode="0.0%">
                  <c:v>7.548144272139129E-2</c:v>
                </c:pt>
                <c:pt idx="25" formatCode="0.0%">
                  <c:v>7.7372458941217387E-2</c:v>
                </c:pt>
                <c:pt idx="26" formatCode="0.0%">
                  <c:v>7.9280331024695658E-2</c:v>
                </c:pt>
                <c:pt idx="27" formatCode="0.0%">
                  <c:v>8.1205058971826075E-2</c:v>
                </c:pt>
                <c:pt idx="28" formatCode="0.0%">
                  <c:v>8.3146642782608693E-2</c:v>
                </c:pt>
                <c:pt idx="29" formatCode="0.0%">
                  <c:v>8.5105082457043457E-2</c:v>
                </c:pt>
                <c:pt idx="30" formatCode="0.0%">
                  <c:v>8.7080377995130423E-2</c:v>
                </c:pt>
                <c:pt idx="31" formatCode="0.0%">
                  <c:v>8.9072529396869576E-2</c:v>
                </c:pt>
                <c:pt idx="32" formatCode="0.0%">
                  <c:v>9.108153666226089E-2</c:v>
                </c:pt>
                <c:pt idx="33" formatCode="0.0%">
                  <c:v>9.3107399791304349E-2</c:v>
                </c:pt>
              </c:numCache>
            </c:numRef>
          </c:val>
          <c:extLst>
            <c:ext xmlns:c16="http://schemas.microsoft.com/office/drawing/2014/chart" uri="{C3380CC4-5D6E-409C-BE32-E72D297353CC}">
              <c16:uniqueId val="{00000001-0DD5-41EB-AB17-BEF67A2FF221}"/>
            </c:ext>
          </c:extLst>
        </c:ser>
        <c:ser>
          <c:idx val="4"/>
          <c:order val="2"/>
          <c:tx>
            <c:strRef>
              <c:f>'Stress calculations'!$HL$6</c:f>
              <c:strCache>
                <c:ptCount val="1"/>
                <c:pt idx="0">
                  <c:v>ICE fuel efficiency@20%BEV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calculations'!$HL$7:$HL$40</c:f>
              <c:numCache>
                <c:formatCode>0.00%</c:formatCode>
                <c:ptCount val="34"/>
                <c:pt idx="0">
                  <c:v>0</c:v>
                </c:pt>
                <c:pt idx="1">
                  <c:v>0</c:v>
                </c:pt>
                <c:pt idx="2">
                  <c:v>0</c:v>
                </c:pt>
                <c:pt idx="3">
                  <c:v>0</c:v>
                </c:pt>
                <c:pt idx="4" formatCode="0.0%">
                  <c:v>5.0238588235294096E-3</c:v>
                </c:pt>
                <c:pt idx="5" formatCode="0.0%">
                  <c:v>1.0114258823529409E-2</c:v>
                </c:pt>
                <c:pt idx="6" formatCode="0.0%">
                  <c:v>1.4253119999999996E-2</c:v>
                </c:pt>
                <c:pt idx="7" formatCode="0.0%">
                  <c:v>1.844521411764705E-2</c:v>
                </c:pt>
                <c:pt idx="8" formatCode="0.0%">
                  <c:v>2.2690541176470579E-2</c:v>
                </c:pt>
                <c:pt idx="9" formatCode="0.0%">
                  <c:v>2.6989101176470576E-2</c:v>
                </c:pt>
                <c:pt idx="10" formatCode="0.0%">
                  <c:v>3.1340894117647046E-2</c:v>
                </c:pt>
                <c:pt idx="11" formatCode="0.0%">
                  <c:v>3.5745919999999973E-2</c:v>
                </c:pt>
                <c:pt idx="12" formatCode="0.0%">
                  <c:v>4.0204178823529384E-2</c:v>
                </c:pt>
                <c:pt idx="13" formatCode="0.0%">
                  <c:v>4.4715670588235272E-2</c:v>
                </c:pt>
                <c:pt idx="14" formatCode="0.0%">
                  <c:v>4.9280395294117624E-2</c:v>
                </c:pt>
                <c:pt idx="15" formatCode="0.0%">
                  <c:v>5.389835294117646E-2</c:v>
                </c:pt>
                <c:pt idx="16" formatCode="0.0%">
                  <c:v>5.8569543529411731E-2</c:v>
                </c:pt>
                <c:pt idx="17" formatCode="0.0%">
                  <c:v>6.3293967058823494E-2</c:v>
                </c:pt>
                <c:pt idx="18" formatCode="0.0%">
                  <c:v>6.8071623529411734E-2</c:v>
                </c:pt>
                <c:pt idx="19" formatCode="0.0%">
                  <c:v>7.2902512941176445E-2</c:v>
                </c:pt>
                <c:pt idx="20" formatCode="0.0%">
                  <c:v>7.778663529411764E-2</c:v>
                </c:pt>
                <c:pt idx="21" formatCode="0.0%">
                  <c:v>7.7134531764705888E-2</c:v>
                </c:pt>
                <c:pt idx="22" formatCode="0.0%">
                  <c:v>7.6469119999999988E-2</c:v>
                </c:pt>
                <c:pt idx="23" formatCode="0.0%">
                  <c:v>7.5790399999999952E-2</c:v>
                </c:pt>
                <c:pt idx="24" formatCode="0.0%">
                  <c:v>7.7374079999999984E-2</c:v>
                </c:pt>
                <c:pt idx="25" formatCode="0.0%">
                  <c:v>7.7826559999999989E-2</c:v>
                </c:pt>
                <c:pt idx="26" formatCode="0.0%">
                  <c:v>7.8279039999999994E-2</c:v>
                </c:pt>
                <c:pt idx="27" formatCode="0.0%">
                  <c:v>7.8731519999999985E-2</c:v>
                </c:pt>
                <c:pt idx="28" formatCode="0.0%">
                  <c:v>7.9183999999999991E-2</c:v>
                </c:pt>
                <c:pt idx="29" formatCode="0.0%">
                  <c:v>7.9636479999999968E-2</c:v>
                </c:pt>
                <c:pt idx="30" formatCode="0.0%">
                  <c:v>8.0088959999999987E-2</c:v>
                </c:pt>
                <c:pt idx="31" formatCode="0.0%">
                  <c:v>8.0541439999999992E-2</c:v>
                </c:pt>
                <c:pt idx="32" formatCode="0.0%">
                  <c:v>8.0993919999999997E-2</c:v>
                </c:pt>
                <c:pt idx="33" formatCode="0.0%">
                  <c:v>8.1446399999999988E-2</c:v>
                </c:pt>
              </c:numCache>
            </c:numRef>
          </c:val>
          <c:extLst>
            <c:ext xmlns:c16="http://schemas.microsoft.com/office/drawing/2014/chart" uri="{C3380CC4-5D6E-409C-BE32-E72D297353CC}">
              <c16:uniqueId val="{00000002-0DD5-41EB-AB17-BEF67A2FF221}"/>
            </c:ext>
          </c:extLst>
        </c:ser>
        <c:ser>
          <c:idx val="0"/>
          <c:order val="3"/>
          <c:tx>
            <c:strRef>
              <c:f>'Stress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calculations'!$FE$7:$FE$40</c:f>
              <c:numCache>
                <c:formatCode>0.00%</c:formatCode>
                <c:ptCount val="34"/>
                <c:pt idx="0">
                  <c:v>0</c:v>
                </c:pt>
                <c:pt idx="1">
                  <c:v>0</c:v>
                </c:pt>
                <c:pt idx="2">
                  <c:v>0</c:v>
                </c:pt>
                <c:pt idx="3">
                  <c:v>0</c:v>
                </c:pt>
                <c:pt idx="4" formatCode="0.0%">
                  <c:v>8.229683698296875E-3</c:v>
                </c:pt>
                <c:pt idx="5" formatCode="0.0%">
                  <c:v>1.6568369829683665E-2</c:v>
                </c:pt>
                <c:pt idx="6" formatCode="0.0%">
                  <c:v>2.501605839416059E-2</c:v>
                </c:pt>
                <c:pt idx="7" formatCode="0.0%">
                  <c:v>3.3572749391727538E-2</c:v>
                </c:pt>
                <c:pt idx="8" formatCode="0.0%">
                  <c:v>4.2238442822384405E-2</c:v>
                </c:pt>
                <c:pt idx="9" formatCode="0.0%">
                  <c:v>5.1013138686131401E-2</c:v>
                </c:pt>
                <c:pt idx="10" formatCode="0.0%">
                  <c:v>5.9896836982968417E-2</c:v>
                </c:pt>
                <c:pt idx="11" formatCode="0.0%">
                  <c:v>6.8889537712895327E-2</c:v>
                </c:pt>
                <c:pt idx="12" formatCode="0.0%">
                  <c:v>7.7991240875912415E-2</c:v>
                </c:pt>
                <c:pt idx="13" formatCode="0.0%">
                  <c:v>8.7201946472019398E-2</c:v>
                </c:pt>
                <c:pt idx="14" formatCode="0.0%">
                  <c:v>9.6521654501216539E-2</c:v>
                </c:pt>
                <c:pt idx="15" formatCode="0.0%">
                  <c:v>0.1059503649635037</c:v>
                </c:pt>
                <c:pt idx="16" formatCode="0.0%">
                  <c:v>0.11548807785888072</c:v>
                </c:pt>
                <c:pt idx="17" formatCode="0.0%">
                  <c:v>0.12513479318734788</c:v>
                </c:pt>
                <c:pt idx="18" formatCode="0.0%">
                  <c:v>0.13489051094890511</c:v>
                </c:pt>
                <c:pt idx="19" formatCode="0.0%">
                  <c:v>0.14475523114355227</c:v>
                </c:pt>
                <c:pt idx="20" formatCode="0.0%">
                  <c:v>0.15472895377128956</c:v>
                </c:pt>
                <c:pt idx="21" formatCode="0.0%">
                  <c:v>0.16481167883211686</c:v>
                </c:pt>
                <c:pt idx="22" formatCode="0.0%">
                  <c:v>0.17500340632603403</c:v>
                </c:pt>
                <c:pt idx="23" formatCode="0.0%">
                  <c:v>0.18530413625304132</c:v>
                </c:pt>
                <c:pt idx="24" formatCode="0.0%">
                  <c:v>0.19571386861313872</c:v>
                </c:pt>
                <c:pt idx="25" formatCode="0.0%">
                  <c:v>0.20623260340632613</c:v>
                </c:pt>
                <c:pt idx="26" formatCode="0.0%">
                  <c:v>0.21686034063260345</c:v>
                </c:pt>
                <c:pt idx="27" formatCode="0.0%">
                  <c:v>0.22759708029197084</c:v>
                </c:pt>
                <c:pt idx="28" formatCode="0.0%">
                  <c:v>0.23844282238442835</c:v>
                </c:pt>
                <c:pt idx="29" formatCode="0.0%">
                  <c:v>0.24939756690997578</c:v>
                </c:pt>
                <c:pt idx="30" formatCode="0.0%">
                  <c:v>0.26046131386861326</c:v>
                </c:pt>
                <c:pt idx="31" formatCode="0.0%">
                  <c:v>0.27163406326034079</c:v>
                </c:pt>
                <c:pt idx="32" formatCode="0.0%">
                  <c:v>0.28291581508515834</c:v>
                </c:pt>
                <c:pt idx="33" formatCode="0.0%">
                  <c:v>0.29430656934306587</c:v>
                </c:pt>
              </c:numCache>
            </c:numRef>
          </c:val>
          <c:extLst>
            <c:ext xmlns:c16="http://schemas.microsoft.com/office/drawing/2014/chart" uri="{C3380CC4-5D6E-409C-BE32-E72D297353CC}">
              <c16:uniqueId val="{00000004-0DD5-41EB-AB17-BEF67A2FF221}"/>
            </c:ext>
          </c:extLst>
        </c:ser>
        <c:ser>
          <c:idx val="12"/>
          <c:order val="4"/>
          <c:tx>
            <c:strRef>
              <c:f>'Stress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calculations'!$FF$7:$FF$40</c:f>
              <c:numCache>
                <c:formatCode>0.00%</c:formatCode>
                <c:ptCount val="34"/>
                <c:pt idx="0">
                  <c:v>0</c:v>
                </c:pt>
                <c:pt idx="1">
                  <c:v>0</c:v>
                </c:pt>
                <c:pt idx="2">
                  <c:v>0</c:v>
                </c:pt>
                <c:pt idx="3">
                  <c:v>0</c:v>
                </c:pt>
                <c:pt idx="4" formatCode="0.0%">
                  <c:v>3.50251419302519E-3</c:v>
                </c:pt>
                <c:pt idx="5" formatCode="0.0%">
                  <c:v>7.0514193025141784E-3</c:v>
                </c:pt>
                <c:pt idx="6" formatCode="0.0%">
                  <c:v>1.0646715328467187E-2</c:v>
                </c:pt>
                <c:pt idx="7" formatCode="0.0%">
                  <c:v>1.4288402270883991E-2</c:v>
                </c:pt>
                <c:pt idx="8" formatCode="0.0%">
                  <c:v>1.797648012976482E-2</c:v>
                </c:pt>
                <c:pt idx="9" formatCode="0.0%">
                  <c:v>2.1710948905109443E-2</c:v>
                </c:pt>
                <c:pt idx="10" formatCode="0.0%">
                  <c:v>2.5491808596918089E-2</c:v>
                </c:pt>
                <c:pt idx="11" formatCode="0.0%">
                  <c:v>2.9319059205190637E-2</c:v>
                </c:pt>
                <c:pt idx="12" formatCode="0.0%">
                  <c:v>3.3192700729926986E-2</c:v>
                </c:pt>
                <c:pt idx="13" formatCode="0.0%">
                  <c:v>3.7112733171127371E-2</c:v>
                </c:pt>
                <c:pt idx="14" formatCode="0.0%">
                  <c:v>4.1079156528791544E-2</c:v>
                </c:pt>
                <c:pt idx="15" formatCode="0.0%">
                  <c:v>4.509197080291974E-2</c:v>
                </c:pt>
                <c:pt idx="16" formatCode="0.0%">
                  <c:v>4.9151175993511716E-2</c:v>
                </c:pt>
                <c:pt idx="17" formatCode="0.0%">
                  <c:v>5.3256772100567715E-2</c:v>
                </c:pt>
                <c:pt idx="18" formatCode="0.0%">
                  <c:v>5.7408759124087522E-2</c:v>
                </c:pt>
                <c:pt idx="19" formatCode="0.0%">
                  <c:v>6.1607137064071359E-2</c:v>
                </c:pt>
                <c:pt idx="20" formatCode="0.0%">
                  <c:v>6.5851905920519108E-2</c:v>
                </c:pt>
                <c:pt idx="21" formatCode="0.0%">
                  <c:v>7.0143065693430651E-2</c:v>
                </c:pt>
                <c:pt idx="22" formatCode="0.0%">
                  <c:v>7.4480616382806189E-2</c:v>
                </c:pt>
                <c:pt idx="23" formatCode="0.0%">
                  <c:v>7.8864557988645514E-2</c:v>
                </c:pt>
                <c:pt idx="24" formatCode="0.0%">
                  <c:v>8.3294890510948905E-2</c:v>
                </c:pt>
                <c:pt idx="25" formatCode="0.0%">
                  <c:v>8.7771613949716207E-2</c:v>
                </c:pt>
                <c:pt idx="26" formatCode="0.0%">
                  <c:v>9.2294728304947296E-2</c:v>
                </c:pt>
                <c:pt idx="27" formatCode="0.0%">
                  <c:v>9.6864233576642381E-2</c:v>
                </c:pt>
                <c:pt idx="28" formatCode="0.0%">
                  <c:v>0.10148012976480141</c:v>
                </c:pt>
                <c:pt idx="29" formatCode="0.0%">
                  <c:v>0.10614241686942417</c:v>
                </c:pt>
                <c:pt idx="30" formatCode="0.0%">
                  <c:v>0.11085109489051102</c:v>
                </c:pt>
                <c:pt idx="31" formatCode="0.0%">
                  <c:v>0.11560616382806166</c:v>
                </c:pt>
                <c:pt idx="32" formatCode="0.0%">
                  <c:v>0.12040762368207633</c:v>
                </c:pt>
                <c:pt idx="33" formatCode="0.0%">
                  <c:v>0.12525547445255486</c:v>
                </c:pt>
              </c:numCache>
            </c:numRef>
          </c:val>
          <c:extLst>
            <c:ext xmlns:c16="http://schemas.microsoft.com/office/drawing/2014/chart" uri="{C3380CC4-5D6E-409C-BE32-E72D297353CC}">
              <c16:uniqueId val="{00000006-0DD5-41EB-AB17-BEF67A2FF221}"/>
            </c:ext>
          </c:extLst>
        </c:ser>
        <c:ser>
          <c:idx val="7"/>
          <c:order val="5"/>
          <c:tx>
            <c:strRef>
              <c:f>'Stress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calculations'!$FG$7:$FG$40</c:f>
              <c:numCache>
                <c:formatCode>0.00%</c:formatCode>
                <c:ptCount val="34"/>
                <c:pt idx="0">
                  <c:v>0</c:v>
                </c:pt>
                <c:pt idx="1">
                  <c:v>0</c:v>
                </c:pt>
                <c:pt idx="2">
                  <c:v>0</c:v>
                </c:pt>
                <c:pt idx="3">
                  <c:v>0</c:v>
                </c:pt>
                <c:pt idx="4" formatCode="0.0%">
                  <c:v>1.6900243309002421E-3</c:v>
                </c:pt>
                <c:pt idx="5" formatCode="0.0%">
                  <c:v>3.4024330900243294E-3</c:v>
                </c:pt>
                <c:pt idx="6" formatCode="0.0%">
                  <c:v>5.1372262773722597E-3</c:v>
                </c:pt>
                <c:pt idx="7" formatCode="0.0%">
                  <c:v>6.894403892944035E-3</c:v>
                </c:pt>
                <c:pt idx="8" formatCode="0.0%">
                  <c:v>8.6739659367396551E-3</c:v>
                </c:pt>
                <c:pt idx="9" formatCode="0.0%">
                  <c:v>1.0475912408759119E-2</c:v>
                </c:pt>
                <c:pt idx="10" formatCode="0.0%">
                  <c:v>1.2300243309002425E-2</c:v>
                </c:pt>
                <c:pt idx="11" formatCode="0.0%">
                  <c:v>1.4146958637469575E-2</c:v>
                </c:pt>
                <c:pt idx="12" formatCode="0.0%">
                  <c:v>1.6016058394160572E-2</c:v>
                </c:pt>
                <c:pt idx="13" formatCode="0.0%">
                  <c:v>1.7907542579075415E-2</c:v>
                </c:pt>
                <c:pt idx="14" formatCode="0.0%">
                  <c:v>1.9821411192214103E-2</c:v>
                </c:pt>
                <c:pt idx="15" formatCode="0.0%">
                  <c:v>2.1757664233576637E-2</c:v>
                </c:pt>
                <c:pt idx="16" formatCode="0.0%">
                  <c:v>2.3716301703163002E-2</c:v>
                </c:pt>
                <c:pt idx="17" formatCode="0.0%">
                  <c:v>2.5697323600973213E-2</c:v>
                </c:pt>
                <c:pt idx="18" formatCode="0.0%">
                  <c:v>2.770072992700728E-2</c:v>
                </c:pt>
                <c:pt idx="19" formatCode="0.0%">
                  <c:v>2.9726520681265189E-2</c:v>
                </c:pt>
                <c:pt idx="20" formatCode="0.0%">
                  <c:v>3.1774695863746948E-2</c:v>
                </c:pt>
                <c:pt idx="21" formatCode="0.0%">
                  <c:v>3.3845255474452544E-2</c:v>
                </c:pt>
                <c:pt idx="22" formatCode="0.0%">
                  <c:v>3.5938199513381973E-2</c:v>
                </c:pt>
                <c:pt idx="23" formatCode="0.0%">
                  <c:v>3.8053527980535247E-2</c:v>
                </c:pt>
                <c:pt idx="24" formatCode="0.0%">
                  <c:v>4.019124087591238E-2</c:v>
                </c:pt>
                <c:pt idx="25" formatCode="0.0%">
                  <c:v>4.2351338199513359E-2</c:v>
                </c:pt>
                <c:pt idx="26" formatCode="0.0%">
                  <c:v>4.4533819951338184E-2</c:v>
                </c:pt>
                <c:pt idx="27" formatCode="0.0%">
                  <c:v>4.6738686131386833E-2</c:v>
                </c:pt>
                <c:pt idx="28" formatCode="0.0%">
                  <c:v>4.8965936739659342E-2</c:v>
                </c:pt>
                <c:pt idx="29" formatCode="0.0%">
                  <c:v>5.1215571776155683E-2</c:v>
                </c:pt>
                <c:pt idx="30" formatCode="0.0%">
                  <c:v>5.3487591240875883E-2</c:v>
                </c:pt>
                <c:pt idx="31" formatCode="0.0%">
                  <c:v>5.5781995133819921E-2</c:v>
                </c:pt>
                <c:pt idx="32" formatCode="0.0%">
                  <c:v>5.8098783454987812E-2</c:v>
                </c:pt>
                <c:pt idx="33" formatCode="0.0%">
                  <c:v>6.0437956204379528E-2</c:v>
                </c:pt>
              </c:numCache>
            </c:numRef>
          </c:val>
          <c:extLst>
            <c:ext xmlns:c16="http://schemas.microsoft.com/office/drawing/2014/chart" uri="{C3380CC4-5D6E-409C-BE32-E72D297353CC}">
              <c16:uniqueId val="{00000008-0DD5-41EB-AB17-BEF67A2FF221}"/>
            </c:ext>
          </c:extLst>
        </c:ser>
        <c:ser>
          <c:idx val="5"/>
          <c:order val="6"/>
          <c:tx>
            <c:strRef>
              <c:f>'Stress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3.4285714285714401E-3</c:v>
                </c:pt>
                <c:pt idx="14" formatCode="0.0%">
                  <c:v>6.9000000000000242E-3</c:v>
                </c:pt>
                <c:pt idx="15" formatCode="0.0%">
                  <c:v>1.0414285714285753E-2</c:v>
                </c:pt>
                <c:pt idx="16" formatCode="0.0%">
                  <c:v>1.3971428571428619E-2</c:v>
                </c:pt>
                <c:pt idx="17" formatCode="0.0%">
                  <c:v>1.7571428571428627E-2</c:v>
                </c:pt>
                <c:pt idx="18" formatCode="0.0%">
                  <c:v>2.1214285714285661E-2</c:v>
                </c:pt>
                <c:pt idx="19" formatCode="0.0%">
                  <c:v>2.489999999999996E-2</c:v>
                </c:pt>
                <c:pt idx="20" formatCode="0.0%">
                  <c:v>2.8628571428571406E-2</c:v>
                </c:pt>
                <c:pt idx="21" formatCode="0.0%">
                  <c:v>3.2399999999999991E-2</c:v>
                </c:pt>
                <c:pt idx="22" formatCode="0.0%">
                  <c:v>3.6214285714285713E-2</c:v>
                </c:pt>
                <c:pt idx="23" formatCode="0.0%">
                  <c:v>4.007142857142857E-2</c:v>
                </c:pt>
                <c:pt idx="24" formatCode="0.0%">
                  <c:v>4.3971428571428592E-2</c:v>
                </c:pt>
                <c:pt idx="25" formatCode="0.0%">
                  <c:v>4.791428571428575E-2</c:v>
                </c:pt>
                <c:pt idx="26" formatCode="0.0%">
                  <c:v>5.1900000000000057E-2</c:v>
                </c:pt>
                <c:pt idx="27" formatCode="0.0%">
                  <c:v>5.592857142857148E-2</c:v>
                </c:pt>
                <c:pt idx="28" formatCode="0.0%">
                  <c:v>5.9999999999999949E-2</c:v>
                </c:pt>
                <c:pt idx="29" formatCode="0.0%">
                  <c:v>6.4114285714285651E-2</c:v>
                </c:pt>
                <c:pt idx="30" formatCode="0.0%">
                  <c:v>6.8271428571428538E-2</c:v>
                </c:pt>
                <c:pt idx="31" formatCode="0.0%">
                  <c:v>7.2471428571428562E-2</c:v>
                </c:pt>
                <c:pt idx="32" formatCode="0.0%">
                  <c:v>7.6714285714285721E-2</c:v>
                </c:pt>
                <c:pt idx="33" formatCode="0.0%">
                  <c:v>8.1000000000000003E-2</c:v>
                </c:pt>
              </c:numCache>
            </c:numRef>
          </c:val>
          <c:extLst>
            <c:ext xmlns:c16="http://schemas.microsoft.com/office/drawing/2014/chart" uri="{C3380CC4-5D6E-409C-BE32-E72D297353CC}">
              <c16:uniqueId val="{0000000A-0DD5-41EB-AB17-BEF67A2FF221}"/>
            </c:ext>
          </c:extLst>
        </c:ser>
        <c:ser>
          <c:idx val="9"/>
          <c:order val="7"/>
          <c:tx>
            <c:strRef>
              <c:f>'Stress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8.9423076923081206E-4</c:v>
                </c:pt>
                <c:pt idx="9" formatCode="0.0%">
                  <c:v>1.7999999999999707E-3</c:v>
                </c:pt>
                <c:pt idx="10" formatCode="0.0%">
                  <c:v>2.7173076923077059E-3</c:v>
                </c:pt>
                <c:pt idx="11" formatCode="0.0%">
                  <c:v>3.6461538461539022E-3</c:v>
                </c:pt>
                <c:pt idx="12" formatCode="0.0%">
                  <c:v>4.5865384615384449E-3</c:v>
                </c:pt>
                <c:pt idx="13" formatCode="0.0%">
                  <c:v>5.5384615384615659E-3</c:v>
                </c:pt>
                <c:pt idx="14" formatCode="0.0%">
                  <c:v>6.501923076923031E-3</c:v>
                </c:pt>
                <c:pt idx="15" formatCode="0.0%">
                  <c:v>7.4769230769230763E-3</c:v>
                </c:pt>
                <c:pt idx="16" formatCode="0.0%">
                  <c:v>8.4634615384615811E-3</c:v>
                </c:pt>
                <c:pt idx="17" formatCode="0.0%">
                  <c:v>9.4615384615384258E-3</c:v>
                </c:pt>
                <c:pt idx="18" formatCode="0.0%">
                  <c:v>1.0471153846153856E-2</c:v>
                </c:pt>
                <c:pt idx="19" formatCode="0.0%">
                  <c:v>1.149230769230775E-2</c:v>
                </c:pt>
                <c:pt idx="20" formatCode="0.0%">
                  <c:v>1.2524999999999982E-2</c:v>
                </c:pt>
                <c:pt idx="21" formatCode="0.0%">
                  <c:v>1.35692307692308E-2</c:v>
                </c:pt>
                <c:pt idx="22" formatCode="0.0%">
                  <c:v>1.4624999999999949E-2</c:v>
                </c:pt>
                <c:pt idx="23" formatCode="0.0%">
                  <c:v>1.5692307692307682E-2</c:v>
                </c:pt>
                <c:pt idx="24" formatCode="0.0%">
                  <c:v>1.6771153846153887E-2</c:v>
                </c:pt>
                <c:pt idx="25" formatCode="0.0%">
                  <c:v>1.7861538461538425E-2</c:v>
                </c:pt>
                <c:pt idx="26" formatCode="0.0%">
                  <c:v>1.8963461538461551E-2</c:v>
                </c:pt>
                <c:pt idx="27" formatCode="0.0%">
                  <c:v>2.0076923076923135E-2</c:v>
                </c:pt>
                <c:pt idx="28" formatCode="0.0%">
                  <c:v>2.1201923076923056E-2</c:v>
                </c:pt>
                <c:pt idx="29" formatCode="0.0%">
                  <c:v>2.233846153846156E-2</c:v>
                </c:pt>
                <c:pt idx="30" formatCode="0.0%">
                  <c:v>2.3486538461538402E-2</c:v>
                </c:pt>
                <c:pt idx="31" formatCode="0.0%">
                  <c:v>2.4646153846153838E-2</c:v>
                </c:pt>
                <c:pt idx="32" formatCode="0.0%">
                  <c:v>2.581730769230774E-2</c:v>
                </c:pt>
                <c:pt idx="33" formatCode="0.0%">
                  <c:v>2.6999999999999958E-2</c:v>
                </c:pt>
              </c:numCache>
            </c:numRef>
          </c:val>
          <c:extLst>
            <c:ext xmlns:c16="http://schemas.microsoft.com/office/drawing/2014/chart" uri="{C3380CC4-5D6E-409C-BE32-E72D297353CC}">
              <c16:uniqueId val="{0000000C-0DD5-41EB-AB17-BEF67A2FF221}"/>
            </c:ext>
          </c:extLst>
        </c:ser>
        <c:ser>
          <c:idx val="6"/>
          <c:order val="8"/>
          <c:tx>
            <c:strRef>
              <c:f>'Stress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calculations'!$FJ$7:$FJ$40</c:f>
              <c:numCache>
                <c:formatCode>0.00%</c:formatCode>
                <c:ptCount val="34"/>
                <c:pt idx="0">
                  <c:v>0</c:v>
                </c:pt>
                <c:pt idx="1">
                  <c:v>0</c:v>
                </c:pt>
                <c:pt idx="2">
                  <c:v>0</c:v>
                </c:pt>
                <c:pt idx="3">
                  <c:v>0</c:v>
                </c:pt>
                <c:pt idx="4" formatCode="0.0%">
                  <c:v>0</c:v>
                </c:pt>
                <c:pt idx="5" formatCode="0.0%">
                  <c:v>0</c:v>
                </c:pt>
                <c:pt idx="6" formatCode="0.0%">
                  <c:v>2.5499999999997194E-4</c:v>
                </c:pt>
                <c:pt idx="7" formatCode="0.0%">
                  <c:v>5.1333333333327682E-4</c:v>
                </c:pt>
                <c:pt idx="8" formatCode="0.0%">
                  <c:v>7.7500000000002946E-4</c:v>
                </c:pt>
                <c:pt idx="9" formatCode="0.0%">
                  <c:v>1.040000000000001E-3</c:v>
                </c:pt>
                <c:pt idx="10" formatCode="0.0%">
                  <c:v>1.3083333333333055E-3</c:v>
                </c:pt>
                <c:pt idx="11" formatCode="0.0%">
                  <c:v>1.5799999999999423E-3</c:v>
                </c:pt>
                <c:pt idx="12" formatCode="0.0%">
                  <c:v>1.8550000000000307E-3</c:v>
                </c:pt>
                <c:pt idx="13" formatCode="0.0%">
                  <c:v>2.1333333333333352E-3</c:v>
                </c:pt>
                <c:pt idx="14" formatCode="0.0%">
                  <c:v>2.4149999999999727E-3</c:v>
                </c:pt>
                <c:pt idx="15" formatCode="0.0%">
                  <c:v>2.6999999999999433E-3</c:v>
                </c:pt>
                <c:pt idx="16" formatCode="0.0%">
                  <c:v>2.9883333333333663E-3</c:v>
                </c:pt>
                <c:pt idx="17" formatCode="0.0%">
                  <c:v>3.2800000000000021E-3</c:v>
                </c:pt>
                <c:pt idx="18" formatCode="0.0%">
                  <c:v>3.5749999999999723E-3</c:v>
                </c:pt>
                <c:pt idx="19" formatCode="0.0%">
                  <c:v>3.8733333333332755E-3</c:v>
                </c:pt>
                <c:pt idx="20" formatCode="0.0%">
                  <c:v>4.1750000000000355E-3</c:v>
                </c:pt>
                <c:pt idx="21" formatCode="0.0%">
                  <c:v>4.4800000000000057E-3</c:v>
                </c:pt>
                <c:pt idx="22" formatCode="0.0%">
                  <c:v>4.7883333333333068E-3</c:v>
                </c:pt>
                <c:pt idx="23" formatCode="0.0%">
                  <c:v>5.0999999999999405E-3</c:v>
                </c:pt>
                <c:pt idx="24" formatCode="0.0%">
                  <c:v>5.4150000000000361E-3</c:v>
                </c:pt>
                <c:pt idx="25" formatCode="0.0%">
                  <c:v>5.7333333333333385E-3</c:v>
                </c:pt>
                <c:pt idx="26" formatCode="0.0%">
                  <c:v>6.0549999999999745E-3</c:v>
                </c:pt>
                <c:pt idx="27" formatCode="0.0%">
                  <c:v>6.3799999999999404E-3</c:v>
                </c:pt>
                <c:pt idx="28" formatCode="0.0%">
                  <c:v>6.7083333333333717E-3</c:v>
                </c:pt>
                <c:pt idx="29" formatCode="0.0%">
                  <c:v>7.0400000000000046E-3</c:v>
                </c:pt>
                <c:pt idx="30" formatCode="0.0%">
                  <c:v>7.3749999999999736E-3</c:v>
                </c:pt>
                <c:pt idx="31" formatCode="0.0%">
                  <c:v>7.7133333333332752E-3</c:v>
                </c:pt>
                <c:pt idx="32" formatCode="0.0%">
                  <c:v>8.0550000000000413E-3</c:v>
                </c:pt>
                <c:pt idx="33" formatCode="0.0%">
                  <c:v>8.4000000000000064E-3</c:v>
                </c:pt>
              </c:numCache>
            </c:numRef>
          </c:val>
          <c:extLst>
            <c:ext xmlns:c16="http://schemas.microsoft.com/office/drawing/2014/chart" uri="{C3380CC4-5D6E-409C-BE32-E72D297353CC}">
              <c16:uniqueId val="{0000000D-0DD5-41EB-AB17-BEF67A2FF221}"/>
            </c:ext>
          </c:extLst>
        </c:ser>
        <c:ser>
          <c:idx val="3"/>
          <c:order val="9"/>
          <c:tx>
            <c:strRef>
              <c:f>'Stress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calculations'!$FK$7:$FK$40</c:f>
              <c:numCache>
                <c:formatCode>0.00%</c:formatCode>
                <c:ptCount val="34"/>
                <c:pt idx="0">
                  <c:v>0</c:v>
                </c:pt>
                <c:pt idx="1">
                  <c:v>0</c:v>
                </c:pt>
                <c:pt idx="2">
                  <c:v>0</c:v>
                </c:pt>
                <c:pt idx="3">
                  <c:v>0</c:v>
                </c:pt>
                <c:pt idx="4" formatCode="0.0%">
                  <c:v>9.6639999999996061E-4</c:v>
                </c:pt>
                <c:pt idx="5" formatCode="0.0%">
                  <c:v>1.9456000000000334E-3</c:v>
                </c:pt>
                <c:pt idx="6" formatCode="0.0%">
                  <c:v>2.9375999999999938E-3</c:v>
                </c:pt>
                <c:pt idx="7" formatCode="0.0%">
                  <c:v>3.9423999999999536E-3</c:v>
                </c:pt>
                <c:pt idx="8" formatCode="0.0%">
                  <c:v>4.9600000000000278E-3</c:v>
                </c:pt>
                <c:pt idx="9" formatCode="0.0%">
                  <c:v>5.9903999999999869E-3</c:v>
                </c:pt>
                <c:pt idx="10" formatCode="0.0%">
                  <c:v>7.0335999999999455E-3</c:v>
                </c:pt>
                <c:pt idx="11" formatCode="0.0%">
                  <c:v>8.089600000000018E-3</c:v>
                </c:pt>
                <c:pt idx="12" formatCode="0.0%">
                  <c:v>9.158399999999978E-3</c:v>
                </c:pt>
                <c:pt idx="13" formatCode="0.0%">
                  <c:v>1.0240000000000056E-2</c:v>
                </c:pt>
                <c:pt idx="14" formatCode="0.0%">
                  <c:v>1.1334400000000017E-2</c:v>
                </c:pt>
                <c:pt idx="15" formatCode="0.0%">
                  <c:v>1.2441599999999976E-2</c:v>
                </c:pt>
                <c:pt idx="16" formatCode="0.0%">
                  <c:v>1.356160000000005E-2</c:v>
                </c:pt>
                <c:pt idx="17" formatCode="0.0%">
                  <c:v>1.4694400000000005E-2</c:v>
                </c:pt>
                <c:pt idx="18" formatCode="0.0%">
                  <c:v>1.5839999999999962E-2</c:v>
                </c:pt>
                <c:pt idx="19" formatCode="0.0%">
                  <c:v>1.6998400000000045E-2</c:v>
                </c:pt>
                <c:pt idx="20" formatCode="0.0%">
                  <c:v>1.8169600000000004E-2</c:v>
                </c:pt>
                <c:pt idx="21" formatCode="0.0%">
                  <c:v>1.9353599999999964E-2</c:v>
                </c:pt>
                <c:pt idx="22" formatCode="0.0%">
                  <c:v>2.0550400000000038E-2</c:v>
                </c:pt>
                <c:pt idx="23" formatCode="0.0%">
                  <c:v>2.1759999999999988E-2</c:v>
                </c:pt>
                <c:pt idx="24" formatCode="0.0%">
                  <c:v>2.2982399999999948E-2</c:v>
                </c:pt>
                <c:pt idx="25" formatCode="0.0%">
                  <c:v>2.4217600000000034E-2</c:v>
                </c:pt>
                <c:pt idx="26" formatCode="0.0%">
                  <c:v>2.5465599999999991E-2</c:v>
                </c:pt>
                <c:pt idx="27" formatCode="0.0%">
                  <c:v>2.6726399999999938E-2</c:v>
                </c:pt>
                <c:pt idx="28" formatCode="0.0%">
                  <c:v>2.8000000000000028E-2</c:v>
                </c:pt>
                <c:pt idx="29" formatCode="0.0%">
                  <c:v>2.9286399999999973E-2</c:v>
                </c:pt>
                <c:pt idx="30" formatCode="0.0%">
                  <c:v>3.0585599999999932E-2</c:v>
                </c:pt>
                <c:pt idx="31" formatCode="0.0%">
                  <c:v>3.1897600000000019E-2</c:v>
                </c:pt>
                <c:pt idx="32" formatCode="0.0%">
                  <c:v>3.3222399999999978E-2</c:v>
                </c:pt>
                <c:pt idx="33" formatCode="0.0%">
                  <c:v>3.4559999999999924E-2</c:v>
                </c:pt>
              </c:numCache>
            </c:numRef>
          </c:val>
          <c:extLst>
            <c:ext xmlns:c16="http://schemas.microsoft.com/office/drawing/2014/chart" uri="{C3380CC4-5D6E-409C-BE32-E72D297353CC}">
              <c16:uniqueId val="{0000000F-0DD5-41EB-AB17-BEF67A2FF221}"/>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0DD5-41EB-AB17-BEF67A2FF221}"/>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0DD5-41EB-AB17-BEF67A2FF221}"/>
              </c:ext>
            </c:extLst>
          </c:dPt>
          <c:dLbls>
            <c:dLbl>
              <c:idx val="3"/>
              <c:layout>
                <c:manualLayout>
                  <c:x val="-3.9204877563181535E-2"/>
                  <c:y val="0.31823915894335314"/>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2141830674909949"/>
                      <c:h val="2.4749568359147243E-2"/>
                    </c:manualLayout>
                  </c15:layout>
                </c:ext>
                <c:ext xmlns:c16="http://schemas.microsoft.com/office/drawing/2014/chart" uri="{C3380CC4-5D6E-409C-BE32-E72D297353CC}">
                  <c16:uniqueId val="{00000011-0DD5-41EB-AB17-BEF67A2FF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12-0DD5-41EB-AB17-BEF67A2FF221}"/>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13-0DD5-41EB-AB17-BEF67A2FF221}"/>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10%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calculations'!$HX$6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calculations'!$HX$7:$HX$40</c:f>
              <c:numCache>
                <c:formatCode>0%</c:formatCode>
                <c:ptCount val="34"/>
                <c:pt idx="0">
                  <c:v>1</c:v>
                </c:pt>
                <c:pt idx="1">
                  <c:v>0.98333333333333328</c:v>
                </c:pt>
                <c:pt idx="2">
                  <c:v>0.96666666666666656</c:v>
                </c:pt>
                <c:pt idx="3" formatCode="0.00%">
                  <c:v>0.95</c:v>
                </c:pt>
                <c:pt idx="4" formatCode="0.00%">
                  <c:v>0.937254185620915</c:v>
                </c:pt>
                <c:pt idx="5" formatCode="0.00%">
                  <c:v>0.92425125228758165</c:v>
                </c:pt>
                <c:pt idx="6" formatCode="0.00%">
                  <c:v>0.91001397601530432</c:v>
                </c:pt>
                <c:pt idx="7" formatCode="0.00%">
                  <c:v>0.89543470098008759</c:v>
                </c:pt>
                <c:pt idx="8" formatCode="0.00%">
                  <c:v>0.87961779175739596</c:v>
                </c:pt>
                <c:pt idx="9" formatCode="0.00%">
                  <c:v>0.86344453599961812</c:v>
                </c:pt>
                <c:pt idx="10" formatCode="0.00%">
                  <c:v>0.84691352905144901</c:v>
                </c:pt>
                <c:pt idx="11" formatCode="0.00%">
                  <c:v>0.83002336625758466</c:v>
                </c:pt>
                <c:pt idx="12" formatCode="0.00%">
                  <c:v>0.81277264296272078</c:v>
                </c:pt>
                <c:pt idx="13" formatCode="0.00%">
                  <c:v>0.79173138308298108</c:v>
                </c:pt>
                <c:pt idx="14" formatCode="0.00%">
                  <c:v>0.77028389624877625</c:v>
                </c:pt>
                <c:pt idx="15" formatCode="0.00%">
                  <c:v>0.74842877780480144</c:v>
                </c:pt>
                <c:pt idx="16" formatCode="0.00%">
                  <c:v>0.72616462309575236</c:v>
                </c:pt>
                <c:pt idx="17" formatCode="0.00%">
                  <c:v>0.70349002746632483</c:v>
                </c:pt>
                <c:pt idx="18" formatCode="0.00%">
                  <c:v>0.68040358626121455</c:v>
                </c:pt>
                <c:pt idx="19" formatCode="0.00%">
                  <c:v>0.65690389482511669</c:v>
                </c:pt>
                <c:pt idx="20" formatCode="0.00%">
                  <c:v>0.63298954850272715</c:v>
                </c:pt>
                <c:pt idx="21" formatCode="0.00%">
                  <c:v>0.61424860146227145</c:v>
                </c:pt>
                <c:pt idx="22" formatCode="0.00%">
                  <c:v>0.59515673140138592</c:v>
                </c:pt>
                <c:pt idx="23" formatCode="0.00%">
                  <c:v>0.57571253366476638</c:v>
                </c:pt>
                <c:pt idx="24" formatCode="0.00%">
                  <c:v>0.5568734562217218</c:v>
                </c:pt>
                <c:pt idx="25" formatCode="0.00%">
                  <c:v>0.53834324413134471</c:v>
                </c:pt>
                <c:pt idx="26" formatCode="0.00%">
                  <c:v>0.51955629739363507</c:v>
                </c:pt>
                <c:pt idx="27" formatCode="0.00%">
                  <c:v>0.50051261600859243</c:v>
                </c:pt>
                <c:pt idx="28" formatCode="0.00%">
                  <c:v>0.48121219997621689</c:v>
                </c:pt>
                <c:pt idx="29" formatCode="0.00%">
                  <c:v>0.4616550492965088</c:v>
                </c:pt>
                <c:pt idx="30" formatCode="0.00%">
                  <c:v>0.44184116396946782</c:v>
                </c:pt>
                <c:pt idx="31" formatCode="0.00%">
                  <c:v>0.42177054399509406</c:v>
                </c:pt>
                <c:pt idx="32" formatCode="0.00%">
                  <c:v>0.40144318937338686</c:v>
                </c:pt>
                <c:pt idx="33" formatCode="0.00%">
                  <c:v>0.38085910010434776</c:v>
                </c:pt>
              </c:numCache>
            </c:numRef>
          </c:val>
          <c:extLst>
            <c:ext xmlns:c16="http://schemas.microsoft.com/office/drawing/2014/chart" uri="{C3380CC4-5D6E-409C-BE32-E72D297353CC}">
              <c16:uniqueId val="{00000000-2924-4251-BF7C-F1BF472B269C}"/>
            </c:ext>
          </c:extLst>
        </c:ser>
        <c:ser>
          <c:idx val="11"/>
          <c:order val="1"/>
          <c:tx>
            <c:strRef>
              <c:f>'Stress calculations'!$HZ$6</c:f>
              <c:strCache>
                <c:ptCount val="1"/>
                <c:pt idx="0">
                  <c:v>10%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calculations'!$HZ$7:$HZ$40</c:f>
              <c:numCache>
                <c:formatCode>0.00%</c:formatCode>
                <c:ptCount val="34"/>
                <c:pt idx="0">
                  <c:v>0</c:v>
                </c:pt>
                <c:pt idx="1">
                  <c:v>0</c:v>
                </c:pt>
                <c:pt idx="2">
                  <c:v>0</c:v>
                </c:pt>
                <c:pt idx="3">
                  <c:v>0</c:v>
                </c:pt>
                <c:pt idx="4" formatCode="0.0%">
                  <c:v>0</c:v>
                </c:pt>
                <c:pt idx="5" formatCode="0.0%">
                  <c:v>0</c:v>
                </c:pt>
                <c:pt idx="6" formatCode="0.0%">
                  <c:v>1.2312639846956508E-3</c:v>
                </c:pt>
                <c:pt idx="7" formatCode="0.0%">
                  <c:v>2.5507285623961322E-3</c:v>
                </c:pt>
                <c:pt idx="8" formatCode="0.0%">
                  <c:v>3.9597983884057933E-3</c:v>
                </c:pt>
                <c:pt idx="9" formatCode="0.0%">
                  <c:v>5.4598781180289794E-3</c:v>
                </c:pt>
                <c:pt idx="10" formatCode="0.0%">
                  <c:v>7.052372406570041E-3</c:v>
                </c:pt>
                <c:pt idx="11" formatCode="0.0%">
                  <c:v>8.7386859093333217E-3</c:v>
                </c:pt>
                <c:pt idx="12" formatCode="0.0%">
                  <c:v>1.0520223281623178E-2</c:v>
                </c:pt>
                <c:pt idx="13" formatCode="0.0%">
                  <c:v>1.2398389178743949E-2</c:v>
                </c:pt>
                <c:pt idx="14" formatCode="0.0%">
                  <c:v>1.4374588255999989E-2</c:v>
                </c:pt>
                <c:pt idx="15" formatCode="0.0%">
                  <c:v>1.6450225168695643E-2</c:v>
                </c:pt>
                <c:pt idx="16" formatCode="0.0%">
                  <c:v>1.862670457213525E-2</c:v>
                </c:pt>
                <c:pt idx="17" formatCode="0.0%">
                  <c:v>2.0905431121623168E-2</c:v>
                </c:pt>
                <c:pt idx="18" formatCode="0.0%">
                  <c:v>2.3287809472463748E-2</c:v>
                </c:pt>
                <c:pt idx="19" formatCode="0.0%">
                  <c:v>2.5775244279961335E-2</c:v>
                </c:pt>
                <c:pt idx="20" formatCode="0.0%">
                  <c:v>2.836914019942027E-2</c:v>
                </c:pt>
                <c:pt idx="21" formatCode="0.0%">
                  <c:v>3.1070901886144916E-2</c:v>
                </c:pt>
                <c:pt idx="22" formatCode="0.0%">
                  <c:v>3.3881933995439595E-2</c:v>
                </c:pt>
                <c:pt idx="23" formatCode="0.0%">
                  <c:v>3.6803641182608662E-2</c:v>
                </c:pt>
                <c:pt idx="24" formatCode="0.0%">
                  <c:v>3.7740721360695624E-2</c:v>
                </c:pt>
                <c:pt idx="25" formatCode="0.0%">
                  <c:v>3.8686229470608673E-2</c:v>
                </c:pt>
                <c:pt idx="26" formatCode="0.0%">
                  <c:v>3.9640165512347808E-2</c:v>
                </c:pt>
                <c:pt idx="27" formatCode="0.0%">
                  <c:v>4.0602529485913016E-2</c:v>
                </c:pt>
                <c:pt idx="28" formatCode="0.0%">
                  <c:v>4.1573321391304326E-2</c:v>
                </c:pt>
                <c:pt idx="29" formatCode="0.0%">
                  <c:v>4.2552541228521708E-2</c:v>
                </c:pt>
                <c:pt idx="30" formatCode="0.0%">
                  <c:v>4.3540188997565191E-2</c:v>
                </c:pt>
                <c:pt idx="31" formatCode="0.0%">
                  <c:v>4.453626469843476E-2</c:v>
                </c:pt>
                <c:pt idx="32" formatCode="0.0%">
                  <c:v>4.5540768331130417E-2</c:v>
                </c:pt>
                <c:pt idx="33" formatCode="0.0%">
                  <c:v>4.6553699895652147E-2</c:v>
                </c:pt>
              </c:numCache>
            </c:numRef>
          </c:val>
          <c:extLst>
            <c:ext xmlns:c16="http://schemas.microsoft.com/office/drawing/2014/chart" uri="{C3380CC4-5D6E-409C-BE32-E72D297353CC}">
              <c16:uniqueId val="{00000001-2924-4251-BF7C-F1BF472B269C}"/>
            </c:ext>
          </c:extLst>
        </c:ser>
        <c:ser>
          <c:idx val="4"/>
          <c:order val="2"/>
          <c:tx>
            <c:strRef>
              <c:f>'Stress calculations'!$IA$6</c:f>
              <c:strCache>
                <c:ptCount val="1"/>
                <c:pt idx="0">
                  <c:v>ICE fuel efficiency@10%BEV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calculations'!$IA$7:$IA$40</c:f>
              <c:numCache>
                <c:formatCode>0.00%</c:formatCode>
                <c:ptCount val="34"/>
                <c:pt idx="0">
                  <c:v>0</c:v>
                </c:pt>
                <c:pt idx="1">
                  <c:v>0</c:v>
                </c:pt>
                <c:pt idx="2">
                  <c:v>0</c:v>
                </c:pt>
                <c:pt idx="3">
                  <c:v>0</c:v>
                </c:pt>
                <c:pt idx="4" formatCode="0.0%">
                  <c:v>5.0238588235294096E-3</c:v>
                </c:pt>
                <c:pt idx="5" formatCode="0.0%">
                  <c:v>1.0114258823529409E-2</c:v>
                </c:pt>
                <c:pt idx="6" formatCode="0.0%">
                  <c:v>1.4762159999999995E-2</c:v>
                </c:pt>
                <c:pt idx="7" formatCode="0.0%">
                  <c:v>1.9469948235294108E-2</c:v>
                </c:pt>
                <c:pt idx="8" formatCode="0.0%">
                  <c:v>2.4237623529411757E-2</c:v>
                </c:pt>
                <c:pt idx="9" formatCode="0.0%">
                  <c:v>2.9065185882352927E-2</c:v>
                </c:pt>
                <c:pt idx="10" formatCode="0.0%">
                  <c:v>3.3952635294117628E-2</c:v>
                </c:pt>
                <c:pt idx="11" formatCode="0.0%">
                  <c:v>3.8899971764705853E-2</c:v>
                </c:pt>
                <c:pt idx="12" formatCode="0.0%">
                  <c:v>4.3907195294117615E-2</c:v>
                </c:pt>
                <c:pt idx="13" formatCode="0.0%">
                  <c:v>4.8974305882352923E-2</c:v>
                </c:pt>
                <c:pt idx="14" formatCode="0.0%">
                  <c:v>5.4101303529411747E-2</c:v>
                </c:pt>
                <c:pt idx="15" formatCode="0.0%">
                  <c:v>5.9288188235294109E-2</c:v>
                </c:pt>
                <c:pt idx="16" formatCode="0.0%">
                  <c:v>6.4534959999999961E-2</c:v>
                </c:pt>
                <c:pt idx="17" formatCode="0.0%">
                  <c:v>6.9841618823529364E-2</c:v>
                </c:pt>
                <c:pt idx="18" formatCode="0.0%">
                  <c:v>7.5208164705882333E-2</c:v>
                </c:pt>
                <c:pt idx="19" formatCode="0.0%">
                  <c:v>8.0634597647058798E-2</c:v>
                </c:pt>
                <c:pt idx="20" formatCode="0.0%">
                  <c:v>8.6120917647058814E-2</c:v>
                </c:pt>
                <c:pt idx="21" formatCode="0.0%">
                  <c:v>8.6077665882352938E-2</c:v>
                </c:pt>
                <c:pt idx="22" formatCode="0.0%">
                  <c:v>8.6027759999999981E-2</c:v>
                </c:pt>
                <c:pt idx="23" formatCode="0.0%">
                  <c:v>8.5971199999999942E-2</c:v>
                </c:pt>
                <c:pt idx="24" formatCode="0.0%">
                  <c:v>8.7045839999999972E-2</c:v>
                </c:pt>
                <c:pt idx="25" formatCode="0.0%">
                  <c:v>8.7554879999999974E-2</c:v>
                </c:pt>
                <c:pt idx="26" formatCode="0.0%">
                  <c:v>8.806391999999999E-2</c:v>
                </c:pt>
                <c:pt idx="27" formatCode="0.0%">
                  <c:v>8.8572959999999964E-2</c:v>
                </c:pt>
                <c:pt idx="28" formatCode="0.0%">
                  <c:v>8.9081999999999981E-2</c:v>
                </c:pt>
                <c:pt idx="29" formatCode="0.0%">
                  <c:v>8.9591039999999955E-2</c:v>
                </c:pt>
                <c:pt idx="30" formatCode="0.0%">
                  <c:v>9.0100079999999971E-2</c:v>
                </c:pt>
                <c:pt idx="31" formatCode="0.0%">
                  <c:v>9.0609119999999987E-2</c:v>
                </c:pt>
                <c:pt idx="32" formatCode="0.0%">
                  <c:v>9.111815999999999E-2</c:v>
                </c:pt>
                <c:pt idx="33" formatCode="0.0%">
                  <c:v>9.1627199999999978E-2</c:v>
                </c:pt>
              </c:numCache>
            </c:numRef>
          </c:val>
          <c:extLst>
            <c:ext xmlns:c16="http://schemas.microsoft.com/office/drawing/2014/chart" uri="{C3380CC4-5D6E-409C-BE32-E72D297353CC}">
              <c16:uniqueId val="{00000002-2924-4251-BF7C-F1BF472B269C}"/>
            </c:ext>
          </c:extLst>
        </c:ser>
        <c:ser>
          <c:idx val="0"/>
          <c:order val="3"/>
          <c:tx>
            <c:strRef>
              <c:f>'Stress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calculations'!$FE$7:$FE$40</c:f>
              <c:numCache>
                <c:formatCode>0.00%</c:formatCode>
                <c:ptCount val="34"/>
                <c:pt idx="0">
                  <c:v>0</c:v>
                </c:pt>
                <c:pt idx="1">
                  <c:v>0</c:v>
                </c:pt>
                <c:pt idx="2">
                  <c:v>0</c:v>
                </c:pt>
                <c:pt idx="3">
                  <c:v>0</c:v>
                </c:pt>
                <c:pt idx="4" formatCode="0.0%">
                  <c:v>8.229683698296875E-3</c:v>
                </c:pt>
                <c:pt idx="5" formatCode="0.0%">
                  <c:v>1.6568369829683665E-2</c:v>
                </c:pt>
                <c:pt idx="6" formatCode="0.0%">
                  <c:v>2.501605839416059E-2</c:v>
                </c:pt>
                <c:pt idx="7" formatCode="0.0%">
                  <c:v>3.3572749391727538E-2</c:v>
                </c:pt>
                <c:pt idx="8" formatCode="0.0%">
                  <c:v>4.2238442822384405E-2</c:v>
                </c:pt>
                <c:pt idx="9" formatCode="0.0%">
                  <c:v>5.1013138686131401E-2</c:v>
                </c:pt>
                <c:pt idx="10" formatCode="0.0%">
                  <c:v>5.9896836982968417E-2</c:v>
                </c:pt>
                <c:pt idx="11" formatCode="0.0%">
                  <c:v>6.8889537712895327E-2</c:v>
                </c:pt>
                <c:pt idx="12" formatCode="0.0%">
                  <c:v>7.7991240875912415E-2</c:v>
                </c:pt>
                <c:pt idx="13" formatCode="0.0%">
                  <c:v>8.7201946472019398E-2</c:v>
                </c:pt>
                <c:pt idx="14" formatCode="0.0%">
                  <c:v>9.6521654501216539E-2</c:v>
                </c:pt>
                <c:pt idx="15" formatCode="0.0%">
                  <c:v>0.1059503649635037</c:v>
                </c:pt>
                <c:pt idx="16" formatCode="0.0%">
                  <c:v>0.11548807785888072</c:v>
                </c:pt>
                <c:pt idx="17" formatCode="0.0%">
                  <c:v>0.12513479318734788</c:v>
                </c:pt>
                <c:pt idx="18" formatCode="0.0%">
                  <c:v>0.13489051094890511</c:v>
                </c:pt>
                <c:pt idx="19" formatCode="0.0%">
                  <c:v>0.14475523114355227</c:v>
                </c:pt>
                <c:pt idx="20" formatCode="0.0%">
                  <c:v>0.15472895377128956</c:v>
                </c:pt>
                <c:pt idx="21" formatCode="0.0%">
                  <c:v>0.16481167883211686</c:v>
                </c:pt>
                <c:pt idx="22" formatCode="0.0%">
                  <c:v>0.17500340632603403</c:v>
                </c:pt>
                <c:pt idx="23" formatCode="0.0%">
                  <c:v>0.18530413625304132</c:v>
                </c:pt>
                <c:pt idx="24" formatCode="0.0%">
                  <c:v>0.19571386861313872</c:v>
                </c:pt>
                <c:pt idx="25" formatCode="0.0%">
                  <c:v>0.20623260340632613</c:v>
                </c:pt>
                <c:pt idx="26" formatCode="0.0%">
                  <c:v>0.21686034063260345</c:v>
                </c:pt>
                <c:pt idx="27" formatCode="0.0%">
                  <c:v>0.22759708029197084</c:v>
                </c:pt>
                <c:pt idx="28" formatCode="0.0%">
                  <c:v>0.23844282238442835</c:v>
                </c:pt>
                <c:pt idx="29" formatCode="0.0%">
                  <c:v>0.24939756690997578</c:v>
                </c:pt>
                <c:pt idx="30" formatCode="0.0%">
                  <c:v>0.26046131386861326</c:v>
                </c:pt>
                <c:pt idx="31" formatCode="0.0%">
                  <c:v>0.27163406326034079</c:v>
                </c:pt>
                <c:pt idx="32" formatCode="0.0%">
                  <c:v>0.28291581508515834</c:v>
                </c:pt>
                <c:pt idx="33" formatCode="0.0%">
                  <c:v>0.29430656934306587</c:v>
                </c:pt>
              </c:numCache>
            </c:numRef>
          </c:val>
          <c:extLst>
            <c:ext xmlns:c16="http://schemas.microsoft.com/office/drawing/2014/chart" uri="{C3380CC4-5D6E-409C-BE32-E72D297353CC}">
              <c16:uniqueId val="{00000004-2924-4251-BF7C-F1BF472B269C}"/>
            </c:ext>
          </c:extLst>
        </c:ser>
        <c:ser>
          <c:idx val="12"/>
          <c:order val="4"/>
          <c:tx>
            <c:strRef>
              <c:f>'Stress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calculations'!$FF$7:$FF$40</c:f>
              <c:numCache>
                <c:formatCode>0.00%</c:formatCode>
                <c:ptCount val="34"/>
                <c:pt idx="0">
                  <c:v>0</c:v>
                </c:pt>
                <c:pt idx="1">
                  <c:v>0</c:v>
                </c:pt>
                <c:pt idx="2">
                  <c:v>0</c:v>
                </c:pt>
                <c:pt idx="3">
                  <c:v>0</c:v>
                </c:pt>
                <c:pt idx="4" formatCode="0.0%">
                  <c:v>3.50251419302519E-3</c:v>
                </c:pt>
                <c:pt idx="5" formatCode="0.0%">
                  <c:v>7.0514193025141784E-3</c:v>
                </c:pt>
                <c:pt idx="6" formatCode="0.0%">
                  <c:v>1.0646715328467187E-2</c:v>
                </c:pt>
                <c:pt idx="7" formatCode="0.0%">
                  <c:v>1.4288402270883991E-2</c:v>
                </c:pt>
                <c:pt idx="8" formatCode="0.0%">
                  <c:v>1.797648012976482E-2</c:v>
                </c:pt>
                <c:pt idx="9" formatCode="0.0%">
                  <c:v>2.1710948905109443E-2</c:v>
                </c:pt>
                <c:pt idx="10" formatCode="0.0%">
                  <c:v>2.5491808596918089E-2</c:v>
                </c:pt>
                <c:pt idx="11" formatCode="0.0%">
                  <c:v>2.9319059205190637E-2</c:v>
                </c:pt>
                <c:pt idx="12" formatCode="0.0%">
                  <c:v>3.3192700729926986E-2</c:v>
                </c:pt>
                <c:pt idx="13" formatCode="0.0%">
                  <c:v>3.7112733171127371E-2</c:v>
                </c:pt>
                <c:pt idx="14" formatCode="0.0%">
                  <c:v>4.1079156528791544E-2</c:v>
                </c:pt>
                <c:pt idx="15" formatCode="0.0%">
                  <c:v>4.509197080291974E-2</c:v>
                </c:pt>
                <c:pt idx="16" formatCode="0.0%">
                  <c:v>4.9151175993511716E-2</c:v>
                </c:pt>
                <c:pt idx="17" formatCode="0.0%">
                  <c:v>5.3256772100567715E-2</c:v>
                </c:pt>
                <c:pt idx="18" formatCode="0.0%">
                  <c:v>5.7408759124087522E-2</c:v>
                </c:pt>
                <c:pt idx="19" formatCode="0.0%">
                  <c:v>6.1607137064071359E-2</c:v>
                </c:pt>
                <c:pt idx="20" formatCode="0.0%">
                  <c:v>6.5851905920519108E-2</c:v>
                </c:pt>
                <c:pt idx="21" formatCode="0.0%">
                  <c:v>7.0143065693430651E-2</c:v>
                </c:pt>
                <c:pt idx="22" formatCode="0.0%">
                  <c:v>7.4480616382806189E-2</c:v>
                </c:pt>
                <c:pt idx="23" formatCode="0.0%">
                  <c:v>7.8864557988645514E-2</c:v>
                </c:pt>
                <c:pt idx="24" formatCode="0.0%">
                  <c:v>8.3294890510948905E-2</c:v>
                </c:pt>
                <c:pt idx="25" formatCode="0.0%">
                  <c:v>8.7771613949716207E-2</c:v>
                </c:pt>
                <c:pt idx="26" formatCode="0.0%">
                  <c:v>9.2294728304947296E-2</c:v>
                </c:pt>
                <c:pt idx="27" formatCode="0.0%">
                  <c:v>9.6864233576642381E-2</c:v>
                </c:pt>
                <c:pt idx="28" formatCode="0.0%">
                  <c:v>0.10148012976480141</c:v>
                </c:pt>
                <c:pt idx="29" formatCode="0.0%">
                  <c:v>0.10614241686942417</c:v>
                </c:pt>
                <c:pt idx="30" formatCode="0.0%">
                  <c:v>0.11085109489051102</c:v>
                </c:pt>
                <c:pt idx="31" formatCode="0.0%">
                  <c:v>0.11560616382806166</c:v>
                </c:pt>
                <c:pt idx="32" formatCode="0.0%">
                  <c:v>0.12040762368207633</c:v>
                </c:pt>
                <c:pt idx="33" formatCode="0.0%">
                  <c:v>0.12525547445255486</c:v>
                </c:pt>
              </c:numCache>
            </c:numRef>
          </c:val>
          <c:extLst>
            <c:ext xmlns:c16="http://schemas.microsoft.com/office/drawing/2014/chart" uri="{C3380CC4-5D6E-409C-BE32-E72D297353CC}">
              <c16:uniqueId val="{00000006-2924-4251-BF7C-F1BF472B269C}"/>
            </c:ext>
          </c:extLst>
        </c:ser>
        <c:ser>
          <c:idx val="7"/>
          <c:order val="5"/>
          <c:tx>
            <c:strRef>
              <c:f>'Stress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calculations'!$FG$7:$FG$40</c:f>
              <c:numCache>
                <c:formatCode>0.00%</c:formatCode>
                <c:ptCount val="34"/>
                <c:pt idx="0">
                  <c:v>0</c:v>
                </c:pt>
                <c:pt idx="1">
                  <c:v>0</c:v>
                </c:pt>
                <c:pt idx="2">
                  <c:v>0</c:v>
                </c:pt>
                <c:pt idx="3">
                  <c:v>0</c:v>
                </c:pt>
                <c:pt idx="4" formatCode="0.0%">
                  <c:v>1.6900243309002421E-3</c:v>
                </c:pt>
                <c:pt idx="5" formatCode="0.0%">
                  <c:v>3.4024330900243294E-3</c:v>
                </c:pt>
                <c:pt idx="6" formatCode="0.0%">
                  <c:v>5.1372262773722597E-3</c:v>
                </c:pt>
                <c:pt idx="7" formatCode="0.0%">
                  <c:v>6.894403892944035E-3</c:v>
                </c:pt>
                <c:pt idx="8" formatCode="0.0%">
                  <c:v>8.6739659367396551E-3</c:v>
                </c:pt>
                <c:pt idx="9" formatCode="0.0%">
                  <c:v>1.0475912408759119E-2</c:v>
                </c:pt>
                <c:pt idx="10" formatCode="0.0%">
                  <c:v>1.2300243309002425E-2</c:v>
                </c:pt>
                <c:pt idx="11" formatCode="0.0%">
                  <c:v>1.4146958637469575E-2</c:v>
                </c:pt>
                <c:pt idx="12" formatCode="0.0%">
                  <c:v>1.6016058394160572E-2</c:v>
                </c:pt>
                <c:pt idx="13" formatCode="0.0%">
                  <c:v>1.7907542579075415E-2</c:v>
                </c:pt>
                <c:pt idx="14" formatCode="0.0%">
                  <c:v>1.9821411192214103E-2</c:v>
                </c:pt>
                <c:pt idx="15" formatCode="0.0%">
                  <c:v>2.1757664233576637E-2</c:v>
                </c:pt>
                <c:pt idx="16" formatCode="0.0%">
                  <c:v>2.3716301703163002E-2</c:v>
                </c:pt>
                <c:pt idx="17" formatCode="0.0%">
                  <c:v>2.5697323600973213E-2</c:v>
                </c:pt>
                <c:pt idx="18" formatCode="0.0%">
                  <c:v>2.770072992700728E-2</c:v>
                </c:pt>
                <c:pt idx="19" formatCode="0.0%">
                  <c:v>2.9726520681265189E-2</c:v>
                </c:pt>
                <c:pt idx="20" formatCode="0.0%">
                  <c:v>3.1774695863746948E-2</c:v>
                </c:pt>
                <c:pt idx="21" formatCode="0.0%">
                  <c:v>3.3845255474452544E-2</c:v>
                </c:pt>
                <c:pt idx="22" formatCode="0.0%">
                  <c:v>3.5938199513381973E-2</c:v>
                </c:pt>
                <c:pt idx="23" formatCode="0.0%">
                  <c:v>3.8053527980535247E-2</c:v>
                </c:pt>
                <c:pt idx="24" formatCode="0.0%">
                  <c:v>4.019124087591238E-2</c:v>
                </c:pt>
                <c:pt idx="25" formatCode="0.0%">
                  <c:v>4.2351338199513359E-2</c:v>
                </c:pt>
                <c:pt idx="26" formatCode="0.0%">
                  <c:v>4.4533819951338184E-2</c:v>
                </c:pt>
                <c:pt idx="27" formatCode="0.0%">
                  <c:v>4.6738686131386833E-2</c:v>
                </c:pt>
                <c:pt idx="28" formatCode="0.0%">
                  <c:v>4.8965936739659342E-2</c:v>
                </c:pt>
                <c:pt idx="29" formatCode="0.0%">
                  <c:v>5.1215571776155683E-2</c:v>
                </c:pt>
                <c:pt idx="30" formatCode="0.0%">
                  <c:v>5.3487591240875883E-2</c:v>
                </c:pt>
                <c:pt idx="31" formatCode="0.0%">
                  <c:v>5.5781995133819921E-2</c:v>
                </c:pt>
                <c:pt idx="32" formatCode="0.0%">
                  <c:v>5.8098783454987812E-2</c:v>
                </c:pt>
                <c:pt idx="33" formatCode="0.0%">
                  <c:v>6.0437956204379528E-2</c:v>
                </c:pt>
              </c:numCache>
            </c:numRef>
          </c:val>
          <c:extLst>
            <c:ext xmlns:c16="http://schemas.microsoft.com/office/drawing/2014/chart" uri="{C3380CC4-5D6E-409C-BE32-E72D297353CC}">
              <c16:uniqueId val="{00000008-2924-4251-BF7C-F1BF472B269C}"/>
            </c:ext>
          </c:extLst>
        </c:ser>
        <c:ser>
          <c:idx val="5"/>
          <c:order val="6"/>
          <c:tx>
            <c:strRef>
              <c:f>'Stress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3.4285714285714401E-3</c:v>
                </c:pt>
                <c:pt idx="14" formatCode="0.0%">
                  <c:v>6.9000000000000242E-3</c:v>
                </c:pt>
                <c:pt idx="15" formatCode="0.0%">
                  <c:v>1.0414285714285753E-2</c:v>
                </c:pt>
                <c:pt idx="16" formatCode="0.0%">
                  <c:v>1.3971428571428619E-2</c:v>
                </c:pt>
                <c:pt idx="17" formatCode="0.0%">
                  <c:v>1.7571428571428627E-2</c:v>
                </c:pt>
                <c:pt idx="18" formatCode="0.0%">
                  <c:v>2.1214285714285661E-2</c:v>
                </c:pt>
                <c:pt idx="19" formatCode="0.0%">
                  <c:v>2.489999999999996E-2</c:v>
                </c:pt>
                <c:pt idx="20" formatCode="0.0%">
                  <c:v>2.8628571428571406E-2</c:v>
                </c:pt>
                <c:pt idx="21" formatCode="0.0%">
                  <c:v>3.2399999999999991E-2</c:v>
                </c:pt>
                <c:pt idx="22" formatCode="0.0%">
                  <c:v>3.6214285714285713E-2</c:v>
                </c:pt>
                <c:pt idx="23" formatCode="0.0%">
                  <c:v>4.007142857142857E-2</c:v>
                </c:pt>
                <c:pt idx="24" formatCode="0.0%">
                  <c:v>4.3971428571428592E-2</c:v>
                </c:pt>
                <c:pt idx="25" formatCode="0.0%">
                  <c:v>4.791428571428575E-2</c:v>
                </c:pt>
                <c:pt idx="26" formatCode="0.0%">
                  <c:v>5.1900000000000057E-2</c:v>
                </c:pt>
                <c:pt idx="27" formatCode="0.0%">
                  <c:v>5.592857142857148E-2</c:v>
                </c:pt>
                <c:pt idx="28" formatCode="0.0%">
                  <c:v>5.9999999999999949E-2</c:v>
                </c:pt>
                <c:pt idx="29" formatCode="0.0%">
                  <c:v>6.4114285714285651E-2</c:v>
                </c:pt>
                <c:pt idx="30" formatCode="0.0%">
                  <c:v>6.8271428571428538E-2</c:v>
                </c:pt>
                <c:pt idx="31" formatCode="0.0%">
                  <c:v>7.2471428571428562E-2</c:v>
                </c:pt>
                <c:pt idx="32" formatCode="0.0%">
                  <c:v>7.6714285714285721E-2</c:v>
                </c:pt>
                <c:pt idx="33" formatCode="0.0%">
                  <c:v>8.1000000000000003E-2</c:v>
                </c:pt>
              </c:numCache>
            </c:numRef>
          </c:val>
          <c:extLst>
            <c:ext xmlns:c16="http://schemas.microsoft.com/office/drawing/2014/chart" uri="{C3380CC4-5D6E-409C-BE32-E72D297353CC}">
              <c16:uniqueId val="{0000000A-2924-4251-BF7C-F1BF472B269C}"/>
            </c:ext>
          </c:extLst>
        </c:ser>
        <c:ser>
          <c:idx val="9"/>
          <c:order val="7"/>
          <c:tx>
            <c:strRef>
              <c:f>'Stress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8.9423076923081206E-4</c:v>
                </c:pt>
                <c:pt idx="9" formatCode="0.0%">
                  <c:v>1.7999999999999707E-3</c:v>
                </c:pt>
                <c:pt idx="10" formatCode="0.0%">
                  <c:v>2.7173076923077059E-3</c:v>
                </c:pt>
                <c:pt idx="11" formatCode="0.0%">
                  <c:v>3.6461538461539022E-3</c:v>
                </c:pt>
                <c:pt idx="12" formatCode="0.0%">
                  <c:v>4.5865384615384449E-3</c:v>
                </c:pt>
                <c:pt idx="13" formatCode="0.0%">
                  <c:v>5.5384615384615659E-3</c:v>
                </c:pt>
                <c:pt idx="14" formatCode="0.0%">
                  <c:v>6.501923076923031E-3</c:v>
                </c:pt>
                <c:pt idx="15" formatCode="0.0%">
                  <c:v>7.4769230769230763E-3</c:v>
                </c:pt>
                <c:pt idx="16" formatCode="0.0%">
                  <c:v>8.4634615384615811E-3</c:v>
                </c:pt>
                <c:pt idx="17" formatCode="0.0%">
                  <c:v>9.4615384615384258E-3</c:v>
                </c:pt>
                <c:pt idx="18" formatCode="0.0%">
                  <c:v>1.0471153846153856E-2</c:v>
                </c:pt>
                <c:pt idx="19" formatCode="0.0%">
                  <c:v>1.149230769230775E-2</c:v>
                </c:pt>
                <c:pt idx="20" formatCode="0.0%">
                  <c:v>1.2524999999999982E-2</c:v>
                </c:pt>
                <c:pt idx="21" formatCode="0.0%">
                  <c:v>1.35692307692308E-2</c:v>
                </c:pt>
                <c:pt idx="22" formatCode="0.0%">
                  <c:v>1.4624999999999949E-2</c:v>
                </c:pt>
                <c:pt idx="23" formatCode="0.0%">
                  <c:v>1.5692307692307682E-2</c:v>
                </c:pt>
                <c:pt idx="24" formatCode="0.0%">
                  <c:v>1.6771153846153887E-2</c:v>
                </c:pt>
                <c:pt idx="25" formatCode="0.0%">
                  <c:v>1.7861538461538425E-2</c:v>
                </c:pt>
                <c:pt idx="26" formatCode="0.0%">
                  <c:v>1.8963461538461551E-2</c:v>
                </c:pt>
                <c:pt idx="27" formatCode="0.0%">
                  <c:v>2.0076923076923135E-2</c:v>
                </c:pt>
                <c:pt idx="28" formatCode="0.0%">
                  <c:v>2.1201923076923056E-2</c:v>
                </c:pt>
                <c:pt idx="29" formatCode="0.0%">
                  <c:v>2.233846153846156E-2</c:v>
                </c:pt>
                <c:pt idx="30" formatCode="0.0%">
                  <c:v>2.3486538461538402E-2</c:v>
                </c:pt>
                <c:pt idx="31" formatCode="0.0%">
                  <c:v>2.4646153846153838E-2</c:v>
                </c:pt>
                <c:pt idx="32" formatCode="0.0%">
                  <c:v>2.581730769230774E-2</c:v>
                </c:pt>
                <c:pt idx="33" formatCode="0.0%">
                  <c:v>2.6999999999999958E-2</c:v>
                </c:pt>
              </c:numCache>
            </c:numRef>
          </c:val>
          <c:extLst>
            <c:ext xmlns:c16="http://schemas.microsoft.com/office/drawing/2014/chart" uri="{C3380CC4-5D6E-409C-BE32-E72D297353CC}">
              <c16:uniqueId val="{0000000C-2924-4251-BF7C-F1BF472B269C}"/>
            </c:ext>
          </c:extLst>
        </c:ser>
        <c:ser>
          <c:idx val="6"/>
          <c:order val="8"/>
          <c:tx>
            <c:strRef>
              <c:f>'Stress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calculations'!$FJ$7:$FJ$40</c:f>
              <c:numCache>
                <c:formatCode>0.00%</c:formatCode>
                <c:ptCount val="34"/>
                <c:pt idx="0">
                  <c:v>0</c:v>
                </c:pt>
                <c:pt idx="1">
                  <c:v>0</c:v>
                </c:pt>
                <c:pt idx="2">
                  <c:v>0</c:v>
                </c:pt>
                <c:pt idx="3">
                  <c:v>0</c:v>
                </c:pt>
                <c:pt idx="4" formatCode="0.0%">
                  <c:v>0</c:v>
                </c:pt>
                <c:pt idx="5" formatCode="0.0%">
                  <c:v>0</c:v>
                </c:pt>
                <c:pt idx="6" formatCode="0.0%">
                  <c:v>2.5499999999997194E-4</c:v>
                </c:pt>
                <c:pt idx="7" formatCode="0.0%">
                  <c:v>5.1333333333327682E-4</c:v>
                </c:pt>
                <c:pt idx="8" formatCode="0.0%">
                  <c:v>7.7500000000002946E-4</c:v>
                </c:pt>
                <c:pt idx="9" formatCode="0.0%">
                  <c:v>1.040000000000001E-3</c:v>
                </c:pt>
                <c:pt idx="10" formatCode="0.0%">
                  <c:v>1.3083333333333055E-3</c:v>
                </c:pt>
                <c:pt idx="11" formatCode="0.0%">
                  <c:v>1.5799999999999423E-3</c:v>
                </c:pt>
                <c:pt idx="12" formatCode="0.0%">
                  <c:v>1.8550000000000307E-3</c:v>
                </c:pt>
                <c:pt idx="13" formatCode="0.0%">
                  <c:v>2.1333333333333352E-3</c:v>
                </c:pt>
                <c:pt idx="14" formatCode="0.0%">
                  <c:v>2.4149999999999727E-3</c:v>
                </c:pt>
                <c:pt idx="15" formatCode="0.0%">
                  <c:v>2.6999999999999433E-3</c:v>
                </c:pt>
                <c:pt idx="16" formatCode="0.0%">
                  <c:v>2.9883333333333663E-3</c:v>
                </c:pt>
                <c:pt idx="17" formatCode="0.0%">
                  <c:v>3.2800000000000021E-3</c:v>
                </c:pt>
                <c:pt idx="18" formatCode="0.0%">
                  <c:v>3.5749999999999723E-3</c:v>
                </c:pt>
                <c:pt idx="19" formatCode="0.0%">
                  <c:v>3.8733333333332755E-3</c:v>
                </c:pt>
                <c:pt idx="20" formatCode="0.0%">
                  <c:v>4.1750000000000355E-3</c:v>
                </c:pt>
                <c:pt idx="21" formatCode="0.0%">
                  <c:v>4.4800000000000057E-3</c:v>
                </c:pt>
                <c:pt idx="22" formatCode="0.0%">
                  <c:v>4.7883333333333068E-3</c:v>
                </c:pt>
                <c:pt idx="23" formatCode="0.0%">
                  <c:v>5.0999999999999405E-3</c:v>
                </c:pt>
                <c:pt idx="24" formatCode="0.0%">
                  <c:v>5.4150000000000361E-3</c:v>
                </c:pt>
                <c:pt idx="25" formatCode="0.0%">
                  <c:v>5.7333333333333385E-3</c:v>
                </c:pt>
                <c:pt idx="26" formatCode="0.0%">
                  <c:v>6.0549999999999745E-3</c:v>
                </c:pt>
                <c:pt idx="27" formatCode="0.0%">
                  <c:v>6.3799999999999404E-3</c:v>
                </c:pt>
                <c:pt idx="28" formatCode="0.0%">
                  <c:v>6.7083333333333717E-3</c:v>
                </c:pt>
                <c:pt idx="29" formatCode="0.0%">
                  <c:v>7.0400000000000046E-3</c:v>
                </c:pt>
                <c:pt idx="30" formatCode="0.0%">
                  <c:v>7.3749999999999736E-3</c:v>
                </c:pt>
                <c:pt idx="31" formatCode="0.0%">
                  <c:v>7.7133333333332752E-3</c:v>
                </c:pt>
                <c:pt idx="32" formatCode="0.0%">
                  <c:v>8.0550000000000413E-3</c:v>
                </c:pt>
                <c:pt idx="33" formatCode="0.0%">
                  <c:v>8.4000000000000064E-3</c:v>
                </c:pt>
              </c:numCache>
            </c:numRef>
          </c:val>
          <c:extLst>
            <c:ext xmlns:c16="http://schemas.microsoft.com/office/drawing/2014/chart" uri="{C3380CC4-5D6E-409C-BE32-E72D297353CC}">
              <c16:uniqueId val="{0000000D-2924-4251-BF7C-F1BF472B269C}"/>
            </c:ext>
          </c:extLst>
        </c:ser>
        <c:ser>
          <c:idx val="3"/>
          <c:order val="9"/>
          <c:tx>
            <c:strRef>
              <c:f>'Stress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calculations'!$FK$7:$FK$40</c:f>
              <c:numCache>
                <c:formatCode>0.00%</c:formatCode>
                <c:ptCount val="34"/>
                <c:pt idx="0">
                  <c:v>0</c:v>
                </c:pt>
                <c:pt idx="1">
                  <c:v>0</c:v>
                </c:pt>
                <c:pt idx="2">
                  <c:v>0</c:v>
                </c:pt>
                <c:pt idx="3">
                  <c:v>0</c:v>
                </c:pt>
                <c:pt idx="4" formatCode="0.0%">
                  <c:v>9.6639999999996061E-4</c:v>
                </c:pt>
                <c:pt idx="5" formatCode="0.0%">
                  <c:v>1.9456000000000334E-3</c:v>
                </c:pt>
                <c:pt idx="6" formatCode="0.0%">
                  <c:v>2.9375999999999938E-3</c:v>
                </c:pt>
                <c:pt idx="7" formatCode="0.0%">
                  <c:v>3.9423999999999536E-3</c:v>
                </c:pt>
                <c:pt idx="8" formatCode="0.0%">
                  <c:v>4.9600000000000278E-3</c:v>
                </c:pt>
                <c:pt idx="9" formatCode="0.0%">
                  <c:v>5.9903999999999869E-3</c:v>
                </c:pt>
                <c:pt idx="10" formatCode="0.0%">
                  <c:v>7.0335999999999455E-3</c:v>
                </c:pt>
                <c:pt idx="11" formatCode="0.0%">
                  <c:v>8.089600000000018E-3</c:v>
                </c:pt>
                <c:pt idx="12" formatCode="0.0%">
                  <c:v>9.158399999999978E-3</c:v>
                </c:pt>
                <c:pt idx="13" formatCode="0.0%">
                  <c:v>1.0240000000000056E-2</c:v>
                </c:pt>
                <c:pt idx="14" formatCode="0.0%">
                  <c:v>1.1334400000000017E-2</c:v>
                </c:pt>
                <c:pt idx="15" formatCode="0.0%">
                  <c:v>1.2441599999999976E-2</c:v>
                </c:pt>
                <c:pt idx="16" formatCode="0.0%">
                  <c:v>1.356160000000005E-2</c:v>
                </c:pt>
                <c:pt idx="17" formatCode="0.0%">
                  <c:v>1.4694400000000005E-2</c:v>
                </c:pt>
                <c:pt idx="18" formatCode="0.0%">
                  <c:v>1.5839999999999962E-2</c:v>
                </c:pt>
                <c:pt idx="19" formatCode="0.0%">
                  <c:v>1.6998400000000045E-2</c:v>
                </c:pt>
                <c:pt idx="20" formatCode="0.0%">
                  <c:v>1.8169600000000004E-2</c:v>
                </c:pt>
                <c:pt idx="21" formatCode="0.0%">
                  <c:v>1.9353599999999964E-2</c:v>
                </c:pt>
                <c:pt idx="22" formatCode="0.0%">
                  <c:v>2.0550400000000038E-2</c:v>
                </c:pt>
                <c:pt idx="23" formatCode="0.0%">
                  <c:v>2.1759999999999988E-2</c:v>
                </c:pt>
                <c:pt idx="24" formatCode="0.0%">
                  <c:v>2.2982399999999948E-2</c:v>
                </c:pt>
                <c:pt idx="25" formatCode="0.0%">
                  <c:v>2.4217600000000034E-2</c:v>
                </c:pt>
                <c:pt idx="26" formatCode="0.0%">
                  <c:v>2.5465599999999991E-2</c:v>
                </c:pt>
                <c:pt idx="27" formatCode="0.0%">
                  <c:v>2.6726399999999938E-2</c:v>
                </c:pt>
                <c:pt idx="28" formatCode="0.0%">
                  <c:v>2.8000000000000028E-2</c:v>
                </c:pt>
                <c:pt idx="29" formatCode="0.0%">
                  <c:v>2.9286399999999973E-2</c:v>
                </c:pt>
                <c:pt idx="30" formatCode="0.0%">
                  <c:v>3.0585599999999932E-2</c:v>
                </c:pt>
                <c:pt idx="31" formatCode="0.0%">
                  <c:v>3.1897600000000019E-2</c:v>
                </c:pt>
                <c:pt idx="32" formatCode="0.0%">
                  <c:v>3.3222399999999978E-2</c:v>
                </c:pt>
                <c:pt idx="33" formatCode="0.0%">
                  <c:v>3.4559999999999924E-2</c:v>
                </c:pt>
              </c:numCache>
            </c:numRef>
          </c:val>
          <c:extLst>
            <c:ext xmlns:c16="http://schemas.microsoft.com/office/drawing/2014/chart" uri="{C3380CC4-5D6E-409C-BE32-E72D297353CC}">
              <c16:uniqueId val="{0000000F-2924-4251-BF7C-F1BF472B269C}"/>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2924-4251-BF7C-F1BF472B269C}"/>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2924-4251-BF7C-F1BF472B269C}"/>
              </c:ext>
            </c:extLst>
          </c:dPt>
          <c:dLbls>
            <c:dLbl>
              <c:idx val="3"/>
              <c:layout>
                <c:manualLayout>
                  <c:x val="-4.6433777465333524E-2"/>
                  <c:y val="0.31736386266493061"/>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330648587709661"/>
                      <c:h val="2.6500084605509337E-2"/>
                    </c:manualLayout>
                  </c15:layout>
                </c:ext>
                <c:ext xmlns:c16="http://schemas.microsoft.com/office/drawing/2014/chart" uri="{C3380CC4-5D6E-409C-BE32-E72D297353CC}">
                  <c16:uniqueId val="{00000011-2924-4251-BF7C-F1BF472B2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12-2924-4251-BF7C-F1BF472B269C}"/>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13-2924-4251-BF7C-F1BF472B269C}"/>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calculations'!$IM$6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calculations'!$IM$7:$IM$40</c:f>
              <c:numCache>
                <c:formatCode>0%</c:formatCode>
                <c:ptCount val="34"/>
                <c:pt idx="0">
                  <c:v>1</c:v>
                </c:pt>
                <c:pt idx="1">
                  <c:v>0.98333333333333328</c:v>
                </c:pt>
                <c:pt idx="2">
                  <c:v>0.96666666666666656</c:v>
                </c:pt>
                <c:pt idx="3" formatCode="0.00%">
                  <c:v>0.95</c:v>
                </c:pt>
                <c:pt idx="4" formatCode="0.00%">
                  <c:v>0.937254185620915</c:v>
                </c:pt>
                <c:pt idx="5" formatCode="0.00%">
                  <c:v>0.92425125228758165</c:v>
                </c:pt>
                <c:pt idx="6" formatCode="0.00%">
                  <c:v>0.9107362</c:v>
                </c:pt>
                <c:pt idx="7" formatCode="0.00%">
                  <c:v>0.89696069542483658</c:v>
                </c:pt>
                <c:pt idx="8" formatCode="0.00%">
                  <c:v>0.88203050779286063</c:v>
                </c:pt>
                <c:pt idx="9" formatCode="0.00%">
                  <c:v>0.8668283294117648</c:v>
                </c:pt>
                <c:pt idx="10" formatCode="0.00%">
                  <c:v>0.85135416028154842</c:v>
                </c:pt>
                <c:pt idx="11" formatCode="0.00%">
                  <c:v>0.83560800040221206</c:v>
                </c:pt>
                <c:pt idx="12" formatCode="0.00%">
                  <c:v>0.81958984977375571</c:v>
                </c:pt>
                <c:pt idx="13" formatCode="0.00%">
                  <c:v>0.79987113696760748</c:v>
                </c:pt>
                <c:pt idx="14" formatCode="0.00%">
                  <c:v>0.77983757626948214</c:v>
                </c:pt>
                <c:pt idx="15" formatCode="0.00%">
                  <c:v>0.75948916767937935</c:v>
                </c:pt>
                <c:pt idx="16" formatCode="0.00%">
                  <c:v>0.73882591119729935</c:v>
                </c:pt>
                <c:pt idx="17" formatCode="0.00%">
                  <c:v>0.71784780682324212</c:v>
                </c:pt>
                <c:pt idx="18" formatCode="0.00%">
                  <c:v>0.69655485455720778</c:v>
                </c:pt>
                <c:pt idx="19" formatCode="0.00%">
                  <c:v>0.67494705439919567</c:v>
                </c:pt>
                <c:pt idx="20" formatCode="0.00%">
                  <c:v>0.65302440634920622</c:v>
                </c:pt>
                <c:pt idx="21" formatCode="0.00%">
                  <c:v>0.63637636923076935</c:v>
                </c:pt>
                <c:pt idx="22" formatCode="0.00%">
                  <c:v>0.61948002539682556</c:v>
                </c:pt>
                <c:pt idx="23" formatCode="0.00%">
                  <c:v>0.60233537484737498</c:v>
                </c:pt>
                <c:pt idx="24" formatCode="0.00%">
                  <c:v>0.58494241758241738</c:v>
                </c:pt>
                <c:pt idx="25" formatCode="0.00%">
                  <c:v>0.56730115360195343</c:v>
                </c:pt>
                <c:pt idx="26" formatCode="0.00%">
                  <c:v>0.54941158290598291</c:v>
                </c:pt>
                <c:pt idx="27" formatCode="0.00%">
                  <c:v>0.53127370549450548</c:v>
                </c:pt>
                <c:pt idx="28" formatCode="0.00%">
                  <c:v>0.51288752136752125</c:v>
                </c:pt>
                <c:pt idx="29" formatCode="0.00%">
                  <c:v>0.49425303052503056</c:v>
                </c:pt>
                <c:pt idx="30" formatCode="0.00%">
                  <c:v>0.47537023296703296</c:v>
                </c:pt>
                <c:pt idx="31" formatCode="0.00%">
                  <c:v>0.45623912869352878</c:v>
                </c:pt>
                <c:pt idx="32" formatCode="0.00%">
                  <c:v>0.43685971770451737</c:v>
                </c:pt>
                <c:pt idx="33" formatCode="0.00%">
                  <c:v>0.41723199999999994</c:v>
                </c:pt>
              </c:numCache>
            </c:numRef>
          </c:val>
          <c:extLst>
            <c:ext xmlns:c16="http://schemas.microsoft.com/office/drawing/2014/chart" uri="{C3380CC4-5D6E-409C-BE32-E72D297353CC}">
              <c16:uniqueId val="{00000000-0DD6-4935-8525-56D84017001D}"/>
            </c:ext>
          </c:extLst>
        </c:ser>
        <c:ser>
          <c:idx val="11"/>
          <c:order val="1"/>
          <c:tx>
            <c:strRef>
              <c:f>'Stress calculations'!$IO$6</c:f>
              <c:strCache>
                <c:ptCount val="1"/>
                <c:pt idx="0">
                  <c:v>.</c:v>
                </c:pt>
              </c:strCache>
            </c:strRef>
          </c:tx>
          <c:spPr>
            <a:solidFill>
              <a:schemeClr val="accent6">
                <a:lumMod val="6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calculations'!$IO$7:$IO$40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0</c:v>
                </c:pt>
                <c:pt idx="14" formatCode="0.0%">
                  <c:v>0</c:v>
                </c:pt>
                <c:pt idx="15" formatCode="0.0%">
                  <c:v>0</c:v>
                </c:pt>
                <c:pt idx="16" formatCode="0.0%">
                  <c:v>0</c:v>
                </c:pt>
                <c:pt idx="17" formatCode="0.0%">
                  <c:v>0</c:v>
                </c:pt>
                <c:pt idx="18" formatCode="0.0%">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c:v>
                </c:pt>
                <c:pt idx="33" formatCode="0.0%">
                  <c:v>0</c:v>
                </c:pt>
              </c:numCache>
            </c:numRef>
          </c:val>
          <c:extLst>
            <c:ext xmlns:c16="http://schemas.microsoft.com/office/drawing/2014/chart" uri="{C3380CC4-5D6E-409C-BE32-E72D297353CC}">
              <c16:uniqueId val="{00000001-0DD6-4935-8525-56D84017001D}"/>
            </c:ext>
          </c:extLst>
        </c:ser>
        <c:ser>
          <c:idx val="4"/>
          <c:order val="2"/>
          <c:tx>
            <c:strRef>
              <c:f>'Stress calculations'!$IP$6</c:f>
              <c:strCache>
                <c:ptCount val="1"/>
                <c:pt idx="0">
                  <c:v>ICE fuel efficiency@0%BEV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calculations'!$IP$7:$IP$40</c:f>
              <c:numCache>
                <c:formatCode>0.00%</c:formatCode>
                <c:ptCount val="34"/>
                <c:pt idx="0">
                  <c:v>0</c:v>
                </c:pt>
                <c:pt idx="1">
                  <c:v>0</c:v>
                </c:pt>
                <c:pt idx="2">
                  <c:v>0</c:v>
                </c:pt>
                <c:pt idx="3">
                  <c:v>0</c:v>
                </c:pt>
                <c:pt idx="4" formatCode="0.0%">
                  <c:v>5.0238588235294096E-3</c:v>
                </c:pt>
                <c:pt idx="5" formatCode="0.0%">
                  <c:v>1.0114258823529409E-2</c:v>
                </c:pt>
                <c:pt idx="6" formatCode="0.0%">
                  <c:v>1.5271199999999995E-2</c:v>
                </c:pt>
                <c:pt idx="7" formatCode="0.0%">
                  <c:v>2.0494682352941166E-2</c:v>
                </c:pt>
                <c:pt idx="8" formatCode="0.0%">
                  <c:v>2.5784705882352932E-2</c:v>
                </c:pt>
                <c:pt idx="9" formatCode="0.0%">
                  <c:v>3.1141270588235282E-2</c:v>
                </c:pt>
                <c:pt idx="10" formatCode="0.0%">
                  <c:v>3.6564376470588217E-2</c:v>
                </c:pt>
                <c:pt idx="11" formatCode="0.0%">
                  <c:v>4.2054023529411733E-2</c:v>
                </c:pt>
                <c:pt idx="12" formatCode="0.0%">
                  <c:v>4.7610211764705854E-2</c:v>
                </c:pt>
                <c:pt idx="13" formatCode="0.0%">
                  <c:v>5.3232941176470566E-2</c:v>
                </c:pt>
                <c:pt idx="14" formatCode="0.0%">
                  <c:v>5.8922211764705863E-2</c:v>
                </c:pt>
                <c:pt idx="15" formatCode="0.0%">
                  <c:v>6.4678023529411752E-2</c:v>
                </c:pt>
                <c:pt idx="16" formatCode="0.0%">
                  <c:v>7.0500376470588197E-2</c:v>
                </c:pt>
                <c:pt idx="17" formatCode="0.0%">
                  <c:v>7.6389270588235247E-2</c:v>
                </c:pt>
                <c:pt idx="18" formatCode="0.0%">
                  <c:v>8.2344705882352903E-2</c:v>
                </c:pt>
                <c:pt idx="19" formatCode="0.0%">
                  <c:v>8.836668235294115E-2</c:v>
                </c:pt>
                <c:pt idx="20" formatCode="0.0%">
                  <c:v>9.4455200000000003E-2</c:v>
                </c:pt>
                <c:pt idx="21" formatCode="0.0%">
                  <c:v>9.5020799999999989E-2</c:v>
                </c:pt>
                <c:pt idx="22" formatCode="0.0%">
                  <c:v>9.5586399999999974E-2</c:v>
                </c:pt>
                <c:pt idx="23" formatCode="0.0%">
                  <c:v>9.6151999999999946E-2</c:v>
                </c:pt>
                <c:pt idx="24" formatCode="0.0%">
                  <c:v>9.6717599999999959E-2</c:v>
                </c:pt>
                <c:pt idx="25" formatCode="0.0%">
                  <c:v>9.7283199999999972E-2</c:v>
                </c:pt>
                <c:pt idx="26" formatCode="0.0%">
                  <c:v>9.7848799999999986E-2</c:v>
                </c:pt>
                <c:pt idx="27" formatCode="0.0%">
                  <c:v>9.8414399999999957E-2</c:v>
                </c:pt>
                <c:pt idx="28" formatCode="0.0%">
                  <c:v>9.8979999999999971E-2</c:v>
                </c:pt>
                <c:pt idx="29" formatCode="0.0%">
                  <c:v>9.9545599999999942E-2</c:v>
                </c:pt>
                <c:pt idx="30" formatCode="0.0%">
                  <c:v>0.10011119999999996</c:v>
                </c:pt>
                <c:pt idx="31" formatCode="0.0%">
                  <c:v>0.10067679999999997</c:v>
                </c:pt>
                <c:pt idx="32" formatCode="0.0%">
                  <c:v>0.10124239999999998</c:v>
                </c:pt>
                <c:pt idx="33" formatCode="0.0%">
                  <c:v>0.10180799999999997</c:v>
                </c:pt>
              </c:numCache>
            </c:numRef>
          </c:val>
          <c:extLst>
            <c:ext xmlns:c16="http://schemas.microsoft.com/office/drawing/2014/chart" uri="{C3380CC4-5D6E-409C-BE32-E72D297353CC}">
              <c16:uniqueId val="{00000002-0DD6-4935-8525-56D84017001D}"/>
            </c:ext>
          </c:extLst>
        </c:ser>
        <c:ser>
          <c:idx val="0"/>
          <c:order val="3"/>
          <c:tx>
            <c:strRef>
              <c:f>'Stress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calculations'!$FE$7:$FE$40</c:f>
              <c:numCache>
                <c:formatCode>0.00%</c:formatCode>
                <c:ptCount val="34"/>
                <c:pt idx="0">
                  <c:v>0</c:v>
                </c:pt>
                <c:pt idx="1">
                  <c:v>0</c:v>
                </c:pt>
                <c:pt idx="2">
                  <c:v>0</c:v>
                </c:pt>
                <c:pt idx="3">
                  <c:v>0</c:v>
                </c:pt>
                <c:pt idx="4" formatCode="0.0%">
                  <c:v>8.229683698296875E-3</c:v>
                </c:pt>
                <c:pt idx="5" formatCode="0.0%">
                  <c:v>1.6568369829683665E-2</c:v>
                </c:pt>
                <c:pt idx="6" formatCode="0.0%">
                  <c:v>2.501605839416059E-2</c:v>
                </c:pt>
                <c:pt idx="7" formatCode="0.0%">
                  <c:v>3.3572749391727538E-2</c:v>
                </c:pt>
                <c:pt idx="8" formatCode="0.0%">
                  <c:v>4.2238442822384405E-2</c:v>
                </c:pt>
                <c:pt idx="9" formatCode="0.0%">
                  <c:v>5.1013138686131401E-2</c:v>
                </c:pt>
                <c:pt idx="10" formatCode="0.0%">
                  <c:v>5.9896836982968417E-2</c:v>
                </c:pt>
                <c:pt idx="11" formatCode="0.0%">
                  <c:v>6.8889537712895327E-2</c:v>
                </c:pt>
                <c:pt idx="12" formatCode="0.0%">
                  <c:v>7.7991240875912415E-2</c:v>
                </c:pt>
                <c:pt idx="13" formatCode="0.0%">
                  <c:v>8.7201946472019398E-2</c:v>
                </c:pt>
                <c:pt idx="14" formatCode="0.0%">
                  <c:v>9.6521654501216539E-2</c:v>
                </c:pt>
                <c:pt idx="15" formatCode="0.0%">
                  <c:v>0.1059503649635037</c:v>
                </c:pt>
                <c:pt idx="16" formatCode="0.0%">
                  <c:v>0.11548807785888072</c:v>
                </c:pt>
                <c:pt idx="17" formatCode="0.0%">
                  <c:v>0.12513479318734788</c:v>
                </c:pt>
                <c:pt idx="18" formatCode="0.0%">
                  <c:v>0.13489051094890511</c:v>
                </c:pt>
                <c:pt idx="19" formatCode="0.0%">
                  <c:v>0.14475523114355227</c:v>
                </c:pt>
                <c:pt idx="20" formatCode="0.0%">
                  <c:v>0.15472895377128956</c:v>
                </c:pt>
                <c:pt idx="21" formatCode="0.0%">
                  <c:v>0.16481167883211686</c:v>
                </c:pt>
                <c:pt idx="22" formatCode="0.0%">
                  <c:v>0.17500340632603403</c:v>
                </c:pt>
                <c:pt idx="23" formatCode="0.0%">
                  <c:v>0.18530413625304132</c:v>
                </c:pt>
                <c:pt idx="24" formatCode="0.0%">
                  <c:v>0.19571386861313872</c:v>
                </c:pt>
                <c:pt idx="25" formatCode="0.0%">
                  <c:v>0.20623260340632613</c:v>
                </c:pt>
                <c:pt idx="26" formatCode="0.0%">
                  <c:v>0.21686034063260345</c:v>
                </c:pt>
                <c:pt idx="27" formatCode="0.0%">
                  <c:v>0.22759708029197084</c:v>
                </c:pt>
                <c:pt idx="28" formatCode="0.0%">
                  <c:v>0.23844282238442835</c:v>
                </c:pt>
                <c:pt idx="29" formatCode="0.0%">
                  <c:v>0.24939756690997578</c:v>
                </c:pt>
                <c:pt idx="30" formatCode="0.0%">
                  <c:v>0.26046131386861326</c:v>
                </c:pt>
                <c:pt idx="31" formatCode="0.0%">
                  <c:v>0.27163406326034079</c:v>
                </c:pt>
                <c:pt idx="32" formatCode="0.0%">
                  <c:v>0.28291581508515834</c:v>
                </c:pt>
                <c:pt idx="33" formatCode="0.0%">
                  <c:v>0.29430656934306587</c:v>
                </c:pt>
              </c:numCache>
            </c:numRef>
          </c:val>
          <c:extLst>
            <c:ext xmlns:c16="http://schemas.microsoft.com/office/drawing/2014/chart" uri="{C3380CC4-5D6E-409C-BE32-E72D297353CC}">
              <c16:uniqueId val="{00000004-0DD6-4935-8525-56D84017001D}"/>
            </c:ext>
          </c:extLst>
        </c:ser>
        <c:ser>
          <c:idx val="12"/>
          <c:order val="4"/>
          <c:tx>
            <c:strRef>
              <c:f>'Stress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calculations'!$FF$7:$FF$40</c:f>
              <c:numCache>
                <c:formatCode>0.00%</c:formatCode>
                <c:ptCount val="34"/>
                <c:pt idx="0">
                  <c:v>0</c:v>
                </c:pt>
                <c:pt idx="1">
                  <c:v>0</c:v>
                </c:pt>
                <c:pt idx="2">
                  <c:v>0</c:v>
                </c:pt>
                <c:pt idx="3">
                  <c:v>0</c:v>
                </c:pt>
                <c:pt idx="4" formatCode="0.0%">
                  <c:v>3.50251419302519E-3</c:v>
                </c:pt>
                <c:pt idx="5" formatCode="0.0%">
                  <c:v>7.0514193025141784E-3</c:v>
                </c:pt>
                <c:pt idx="6" formatCode="0.0%">
                  <c:v>1.0646715328467187E-2</c:v>
                </c:pt>
                <c:pt idx="7" formatCode="0.0%">
                  <c:v>1.4288402270883991E-2</c:v>
                </c:pt>
                <c:pt idx="8" formatCode="0.0%">
                  <c:v>1.797648012976482E-2</c:v>
                </c:pt>
                <c:pt idx="9" formatCode="0.0%">
                  <c:v>2.1710948905109443E-2</c:v>
                </c:pt>
                <c:pt idx="10" formatCode="0.0%">
                  <c:v>2.5491808596918089E-2</c:v>
                </c:pt>
                <c:pt idx="11" formatCode="0.0%">
                  <c:v>2.9319059205190637E-2</c:v>
                </c:pt>
                <c:pt idx="12" formatCode="0.0%">
                  <c:v>3.3192700729926986E-2</c:v>
                </c:pt>
                <c:pt idx="13" formatCode="0.0%">
                  <c:v>3.7112733171127371E-2</c:v>
                </c:pt>
                <c:pt idx="14" formatCode="0.0%">
                  <c:v>4.1079156528791544E-2</c:v>
                </c:pt>
                <c:pt idx="15" formatCode="0.0%">
                  <c:v>4.509197080291974E-2</c:v>
                </c:pt>
                <c:pt idx="16" formatCode="0.0%">
                  <c:v>4.9151175993511716E-2</c:v>
                </c:pt>
                <c:pt idx="17" formatCode="0.0%">
                  <c:v>5.3256772100567715E-2</c:v>
                </c:pt>
                <c:pt idx="18" formatCode="0.0%">
                  <c:v>5.7408759124087522E-2</c:v>
                </c:pt>
                <c:pt idx="19" formatCode="0.0%">
                  <c:v>6.1607137064071359E-2</c:v>
                </c:pt>
                <c:pt idx="20" formatCode="0.0%">
                  <c:v>6.5851905920519108E-2</c:v>
                </c:pt>
                <c:pt idx="21" formatCode="0.0%">
                  <c:v>7.0143065693430651E-2</c:v>
                </c:pt>
                <c:pt idx="22" formatCode="0.0%">
                  <c:v>7.4480616382806189E-2</c:v>
                </c:pt>
                <c:pt idx="23" formatCode="0.0%">
                  <c:v>7.8864557988645514E-2</c:v>
                </c:pt>
                <c:pt idx="24" formatCode="0.0%">
                  <c:v>8.3294890510948905E-2</c:v>
                </c:pt>
                <c:pt idx="25" formatCode="0.0%">
                  <c:v>8.7771613949716207E-2</c:v>
                </c:pt>
                <c:pt idx="26" formatCode="0.0%">
                  <c:v>9.2294728304947296E-2</c:v>
                </c:pt>
                <c:pt idx="27" formatCode="0.0%">
                  <c:v>9.6864233576642381E-2</c:v>
                </c:pt>
                <c:pt idx="28" formatCode="0.0%">
                  <c:v>0.10148012976480141</c:v>
                </c:pt>
                <c:pt idx="29" formatCode="0.0%">
                  <c:v>0.10614241686942417</c:v>
                </c:pt>
                <c:pt idx="30" formatCode="0.0%">
                  <c:v>0.11085109489051102</c:v>
                </c:pt>
                <c:pt idx="31" formatCode="0.0%">
                  <c:v>0.11560616382806166</c:v>
                </c:pt>
                <c:pt idx="32" formatCode="0.0%">
                  <c:v>0.12040762368207633</c:v>
                </c:pt>
                <c:pt idx="33" formatCode="0.0%">
                  <c:v>0.12525547445255486</c:v>
                </c:pt>
              </c:numCache>
            </c:numRef>
          </c:val>
          <c:extLst>
            <c:ext xmlns:c16="http://schemas.microsoft.com/office/drawing/2014/chart" uri="{C3380CC4-5D6E-409C-BE32-E72D297353CC}">
              <c16:uniqueId val="{00000006-0DD6-4935-8525-56D84017001D}"/>
            </c:ext>
          </c:extLst>
        </c:ser>
        <c:ser>
          <c:idx val="7"/>
          <c:order val="5"/>
          <c:tx>
            <c:strRef>
              <c:f>'Stress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calculations'!$FG$7:$FG$40</c:f>
              <c:numCache>
                <c:formatCode>0.00%</c:formatCode>
                <c:ptCount val="34"/>
                <c:pt idx="0">
                  <c:v>0</c:v>
                </c:pt>
                <c:pt idx="1">
                  <c:v>0</c:v>
                </c:pt>
                <c:pt idx="2">
                  <c:v>0</c:v>
                </c:pt>
                <c:pt idx="3">
                  <c:v>0</c:v>
                </c:pt>
                <c:pt idx="4" formatCode="0.0%">
                  <c:v>1.6900243309002421E-3</c:v>
                </c:pt>
                <c:pt idx="5" formatCode="0.0%">
                  <c:v>3.4024330900243294E-3</c:v>
                </c:pt>
                <c:pt idx="6" formatCode="0.0%">
                  <c:v>5.1372262773722597E-3</c:v>
                </c:pt>
                <c:pt idx="7" formatCode="0.0%">
                  <c:v>6.894403892944035E-3</c:v>
                </c:pt>
                <c:pt idx="8" formatCode="0.0%">
                  <c:v>8.6739659367396551E-3</c:v>
                </c:pt>
                <c:pt idx="9" formatCode="0.0%">
                  <c:v>1.0475912408759119E-2</c:v>
                </c:pt>
                <c:pt idx="10" formatCode="0.0%">
                  <c:v>1.2300243309002425E-2</c:v>
                </c:pt>
                <c:pt idx="11" formatCode="0.0%">
                  <c:v>1.4146958637469575E-2</c:v>
                </c:pt>
                <c:pt idx="12" formatCode="0.0%">
                  <c:v>1.6016058394160572E-2</c:v>
                </c:pt>
                <c:pt idx="13" formatCode="0.0%">
                  <c:v>1.7907542579075415E-2</c:v>
                </c:pt>
                <c:pt idx="14" formatCode="0.0%">
                  <c:v>1.9821411192214103E-2</c:v>
                </c:pt>
                <c:pt idx="15" formatCode="0.0%">
                  <c:v>2.1757664233576637E-2</c:v>
                </c:pt>
                <c:pt idx="16" formatCode="0.0%">
                  <c:v>2.3716301703163002E-2</c:v>
                </c:pt>
                <c:pt idx="17" formatCode="0.0%">
                  <c:v>2.5697323600973213E-2</c:v>
                </c:pt>
                <c:pt idx="18" formatCode="0.0%">
                  <c:v>2.770072992700728E-2</c:v>
                </c:pt>
                <c:pt idx="19" formatCode="0.0%">
                  <c:v>2.9726520681265189E-2</c:v>
                </c:pt>
                <c:pt idx="20" formatCode="0.0%">
                  <c:v>3.1774695863746948E-2</c:v>
                </c:pt>
                <c:pt idx="21" formatCode="0.0%">
                  <c:v>3.3845255474452544E-2</c:v>
                </c:pt>
                <c:pt idx="22" formatCode="0.0%">
                  <c:v>3.5938199513381973E-2</c:v>
                </c:pt>
                <c:pt idx="23" formatCode="0.0%">
                  <c:v>3.8053527980535247E-2</c:v>
                </c:pt>
                <c:pt idx="24" formatCode="0.0%">
                  <c:v>4.019124087591238E-2</c:v>
                </c:pt>
                <c:pt idx="25" formatCode="0.0%">
                  <c:v>4.2351338199513359E-2</c:v>
                </c:pt>
                <c:pt idx="26" formatCode="0.0%">
                  <c:v>4.4533819951338184E-2</c:v>
                </c:pt>
                <c:pt idx="27" formatCode="0.0%">
                  <c:v>4.6738686131386833E-2</c:v>
                </c:pt>
                <c:pt idx="28" formatCode="0.0%">
                  <c:v>4.8965936739659342E-2</c:v>
                </c:pt>
                <c:pt idx="29" formatCode="0.0%">
                  <c:v>5.1215571776155683E-2</c:v>
                </c:pt>
                <c:pt idx="30" formatCode="0.0%">
                  <c:v>5.3487591240875883E-2</c:v>
                </c:pt>
                <c:pt idx="31" formatCode="0.0%">
                  <c:v>5.5781995133819921E-2</c:v>
                </c:pt>
                <c:pt idx="32" formatCode="0.0%">
                  <c:v>5.8098783454987812E-2</c:v>
                </c:pt>
                <c:pt idx="33" formatCode="0.0%">
                  <c:v>6.0437956204379528E-2</c:v>
                </c:pt>
              </c:numCache>
            </c:numRef>
          </c:val>
          <c:extLst>
            <c:ext xmlns:c16="http://schemas.microsoft.com/office/drawing/2014/chart" uri="{C3380CC4-5D6E-409C-BE32-E72D297353CC}">
              <c16:uniqueId val="{00000008-0DD6-4935-8525-56D84017001D}"/>
            </c:ext>
          </c:extLst>
        </c:ser>
        <c:ser>
          <c:idx val="5"/>
          <c:order val="6"/>
          <c:tx>
            <c:strRef>
              <c:f>'Stress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3.4285714285714401E-3</c:v>
                </c:pt>
                <c:pt idx="14" formatCode="0.0%">
                  <c:v>6.9000000000000242E-3</c:v>
                </c:pt>
                <c:pt idx="15" formatCode="0.0%">
                  <c:v>1.0414285714285753E-2</c:v>
                </c:pt>
                <c:pt idx="16" formatCode="0.0%">
                  <c:v>1.3971428571428619E-2</c:v>
                </c:pt>
                <c:pt idx="17" formatCode="0.0%">
                  <c:v>1.7571428571428627E-2</c:v>
                </c:pt>
                <c:pt idx="18" formatCode="0.0%">
                  <c:v>2.1214285714285661E-2</c:v>
                </c:pt>
                <c:pt idx="19" formatCode="0.0%">
                  <c:v>2.489999999999996E-2</c:v>
                </c:pt>
                <c:pt idx="20" formatCode="0.0%">
                  <c:v>2.8628571428571406E-2</c:v>
                </c:pt>
                <c:pt idx="21" formatCode="0.0%">
                  <c:v>3.2399999999999991E-2</c:v>
                </c:pt>
                <c:pt idx="22" formatCode="0.0%">
                  <c:v>3.6214285714285713E-2</c:v>
                </c:pt>
                <c:pt idx="23" formatCode="0.0%">
                  <c:v>4.007142857142857E-2</c:v>
                </c:pt>
                <c:pt idx="24" formatCode="0.0%">
                  <c:v>4.3971428571428592E-2</c:v>
                </c:pt>
                <c:pt idx="25" formatCode="0.0%">
                  <c:v>4.791428571428575E-2</c:v>
                </c:pt>
                <c:pt idx="26" formatCode="0.0%">
                  <c:v>5.1900000000000057E-2</c:v>
                </c:pt>
                <c:pt idx="27" formatCode="0.0%">
                  <c:v>5.592857142857148E-2</c:v>
                </c:pt>
                <c:pt idx="28" formatCode="0.0%">
                  <c:v>5.9999999999999949E-2</c:v>
                </c:pt>
                <c:pt idx="29" formatCode="0.0%">
                  <c:v>6.4114285714285651E-2</c:v>
                </c:pt>
                <c:pt idx="30" formatCode="0.0%">
                  <c:v>6.8271428571428538E-2</c:v>
                </c:pt>
                <c:pt idx="31" formatCode="0.0%">
                  <c:v>7.2471428571428562E-2</c:v>
                </c:pt>
                <c:pt idx="32" formatCode="0.0%">
                  <c:v>7.6714285714285721E-2</c:v>
                </c:pt>
                <c:pt idx="33" formatCode="0.0%">
                  <c:v>8.1000000000000003E-2</c:v>
                </c:pt>
              </c:numCache>
            </c:numRef>
          </c:val>
          <c:extLst>
            <c:ext xmlns:c16="http://schemas.microsoft.com/office/drawing/2014/chart" uri="{C3380CC4-5D6E-409C-BE32-E72D297353CC}">
              <c16:uniqueId val="{0000000A-0DD6-4935-8525-56D84017001D}"/>
            </c:ext>
          </c:extLst>
        </c:ser>
        <c:ser>
          <c:idx val="9"/>
          <c:order val="7"/>
          <c:tx>
            <c:strRef>
              <c:f>'Stress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8.9423076923081206E-4</c:v>
                </c:pt>
                <c:pt idx="9" formatCode="0.0%">
                  <c:v>1.7999999999999707E-3</c:v>
                </c:pt>
                <c:pt idx="10" formatCode="0.0%">
                  <c:v>2.7173076923077059E-3</c:v>
                </c:pt>
                <c:pt idx="11" formatCode="0.0%">
                  <c:v>3.6461538461539022E-3</c:v>
                </c:pt>
                <c:pt idx="12" formatCode="0.0%">
                  <c:v>4.5865384615384449E-3</c:v>
                </c:pt>
                <c:pt idx="13" formatCode="0.0%">
                  <c:v>5.5384615384615659E-3</c:v>
                </c:pt>
                <c:pt idx="14" formatCode="0.0%">
                  <c:v>6.501923076923031E-3</c:v>
                </c:pt>
                <c:pt idx="15" formatCode="0.0%">
                  <c:v>7.4769230769230763E-3</c:v>
                </c:pt>
                <c:pt idx="16" formatCode="0.0%">
                  <c:v>8.4634615384615811E-3</c:v>
                </c:pt>
                <c:pt idx="17" formatCode="0.0%">
                  <c:v>9.4615384615384258E-3</c:v>
                </c:pt>
                <c:pt idx="18" formatCode="0.0%">
                  <c:v>1.0471153846153856E-2</c:v>
                </c:pt>
                <c:pt idx="19" formatCode="0.0%">
                  <c:v>1.149230769230775E-2</c:v>
                </c:pt>
                <c:pt idx="20" formatCode="0.0%">
                  <c:v>1.2524999999999982E-2</c:v>
                </c:pt>
                <c:pt idx="21" formatCode="0.0%">
                  <c:v>1.35692307692308E-2</c:v>
                </c:pt>
                <c:pt idx="22" formatCode="0.0%">
                  <c:v>1.4624999999999949E-2</c:v>
                </c:pt>
                <c:pt idx="23" formatCode="0.0%">
                  <c:v>1.5692307692307682E-2</c:v>
                </c:pt>
                <c:pt idx="24" formatCode="0.0%">
                  <c:v>1.6771153846153887E-2</c:v>
                </c:pt>
                <c:pt idx="25" formatCode="0.0%">
                  <c:v>1.7861538461538425E-2</c:v>
                </c:pt>
                <c:pt idx="26" formatCode="0.0%">
                  <c:v>1.8963461538461551E-2</c:v>
                </c:pt>
                <c:pt idx="27" formatCode="0.0%">
                  <c:v>2.0076923076923135E-2</c:v>
                </c:pt>
                <c:pt idx="28" formatCode="0.0%">
                  <c:v>2.1201923076923056E-2</c:v>
                </c:pt>
                <c:pt idx="29" formatCode="0.0%">
                  <c:v>2.233846153846156E-2</c:v>
                </c:pt>
                <c:pt idx="30" formatCode="0.0%">
                  <c:v>2.3486538461538402E-2</c:v>
                </c:pt>
                <c:pt idx="31" formatCode="0.0%">
                  <c:v>2.4646153846153838E-2</c:v>
                </c:pt>
                <c:pt idx="32" formatCode="0.0%">
                  <c:v>2.581730769230774E-2</c:v>
                </c:pt>
                <c:pt idx="33" formatCode="0.0%">
                  <c:v>2.6999999999999958E-2</c:v>
                </c:pt>
              </c:numCache>
            </c:numRef>
          </c:val>
          <c:extLst>
            <c:ext xmlns:c16="http://schemas.microsoft.com/office/drawing/2014/chart" uri="{C3380CC4-5D6E-409C-BE32-E72D297353CC}">
              <c16:uniqueId val="{0000000C-0DD6-4935-8525-56D84017001D}"/>
            </c:ext>
          </c:extLst>
        </c:ser>
        <c:ser>
          <c:idx val="6"/>
          <c:order val="8"/>
          <c:tx>
            <c:strRef>
              <c:f>'Stress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calculations'!$FJ$7:$FJ$40</c:f>
              <c:numCache>
                <c:formatCode>0.00%</c:formatCode>
                <c:ptCount val="34"/>
                <c:pt idx="0">
                  <c:v>0</c:v>
                </c:pt>
                <c:pt idx="1">
                  <c:v>0</c:v>
                </c:pt>
                <c:pt idx="2">
                  <c:v>0</c:v>
                </c:pt>
                <c:pt idx="3">
                  <c:v>0</c:v>
                </c:pt>
                <c:pt idx="4" formatCode="0.0%">
                  <c:v>0</c:v>
                </c:pt>
                <c:pt idx="5" formatCode="0.0%">
                  <c:v>0</c:v>
                </c:pt>
                <c:pt idx="6" formatCode="0.0%">
                  <c:v>2.5499999999997194E-4</c:v>
                </c:pt>
                <c:pt idx="7" formatCode="0.0%">
                  <c:v>5.1333333333327682E-4</c:v>
                </c:pt>
                <c:pt idx="8" formatCode="0.0%">
                  <c:v>7.7500000000002946E-4</c:v>
                </c:pt>
                <c:pt idx="9" formatCode="0.0%">
                  <c:v>1.040000000000001E-3</c:v>
                </c:pt>
                <c:pt idx="10" formatCode="0.0%">
                  <c:v>1.3083333333333055E-3</c:v>
                </c:pt>
                <c:pt idx="11" formatCode="0.0%">
                  <c:v>1.5799999999999423E-3</c:v>
                </c:pt>
                <c:pt idx="12" formatCode="0.0%">
                  <c:v>1.8550000000000307E-3</c:v>
                </c:pt>
                <c:pt idx="13" formatCode="0.0%">
                  <c:v>2.1333333333333352E-3</c:v>
                </c:pt>
                <c:pt idx="14" formatCode="0.0%">
                  <c:v>2.4149999999999727E-3</c:v>
                </c:pt>
                <c:pt idx="15" formatCode="0.0%">
                  <c:v>2.6999999999999433E-3</c:v>
                </c:pt>
                <c:pt idx="16" formatCode="0.0%">
                  <c:v>2.9883333333333663E-3</c:v>
                </c:pt>
                <c:pt idx="17" formatCode="0.0%">
                  <c:v>3.2800000000000021E-3</c:v>
                </c:pt>
                <c:pt idx="18" formatCode="0.0%">
                  <c:v>3.5749999999999723E-3</c:v>
                </c:pt>
                <c:pt idx="19" formatCode="0.0%">
                  <c:v>3.8733333333332755E-3</c:v>
                </c:pt>
                <c:pt idx="20" formatCode="0.0%">
                  <c:v>4.1750000000000355E-3</c:v>
                </c:pt>
                <c:pt idx="21" formatCode="0.0%">
                  <c:v>4.4800000000000057E-3</c:v>
                </c:pt>
                <c:pt idx="22" formatCode="0.0%">
                  <c:v>4.7883333333333068E-3</c:v>
                </c:pt>
                <c:pt idx="23" formatCode="0.0%">
                  <c:v>5.0999999999999405E-3</c:v>
                </c:pt>
                <c:pt idx="24" formatCode="0.0%">
                  <c:v>5.4150000000000361E-3</c:v>
                </c:pt>
                <c:pt idx="25" formatCode="0.0%">
                  <c:v>5.7333333333333385E-3</c:v>
                </c:pt>
                <c:pt idx="26" formatCode="0.0%">
                  <c:v>6.0549999999999745E-3</c:v>
                </c:pt>
                <c:pt idx="27" formatCode="0.0%">
                  <c:v>6.3799999999999404E-3</c:v>
                </c:pt>
                <c:pt idx="28" formatCode="0.0%">
                  <c:v>6.7083333333333717E-3</c:v>
                </c:pt>
                <c:pt idx="29" formatCode="0.0%">
                  <c:v>7.0400000000000046E-3</c:v>
                </c:pt>
                <c:pt idx="30" formatCode="0.0%">
                  <c:v>7.3749999999999736E-3</c:v>
                </c:pt>
                <c:pt idx="31" formatCode="0.0%">
                  <c:v>7.7133333333332752E-3</c:v>
                </c:pt>
                <c:pt idx="32" formatCode="0.0%">
                  <c:v>8.0550000000000413E-3</c:v>
                </c:pt>
                <c:pt idx="33" formatCode="0.0%">
                  <c:v>8.4000000000000064E-3</c:v>
                </c:pt>
              </c:numCache>
            </c:numRef>
          </c:val>
          <c:extLst>
            <c:ext xmlns:c16="http://schemas.microsoft.com/office/drawing/2014/chart" uri="{C3380CC4-5D6E-409C-BE32-E72D297353CC}">
              <c16:uniqueId val="{0000000D-0DD6-4935-8525-56D84017001D}"/>
            </c:ext>
          </c:extLst>
        </c:ser>
        <c:ser>
          <c:idx val="3"/>
          <c:order val="9"/>
          <c:tx>
            <c:strRef>
              <c:f>'Stress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calculations'!$FK$7:$FK$40</c:f>
              <c:numCache>
                <c:formatCode>0.00%</c:formatCode>
                <c:ptCount val="34"/>
                <c:pt idx="0">
                  <c:v>0</c:v>
                </c:pt>
                <c:pt idx="1">
                  <c:v>0</c:v>
                </c:pt>
                <c:pt idx="2">
                  <c:v>0</c:v>
                </c:pt>
                <c:pt idx="3">
                  <c:v>0</c:v>
                </c:pt>
                <c:pt idx="4" formatCode="0.0%">
                  <c:v>9.6639999999996061E-4</c:v>
                </c:pt>
                <c:pt idx="5" formatCode="0.0%">
                  <c:v>1.9456000000000334E-3</c:v>
                </c:pt>
                <c:pt idx="6" formatCode="0.0%">
                  <c:v>2.9375999999999938E-3</c:v>
                </c:pt>
                <c:pt idx="7" formatCode="0.0%">
                  <c:v>3.9423999999999536E-3</c:v>
                </c:pt>
                <c:pt idx="8" formatCode="0.0%">
                  <c:v>4.9600000000000278E-3</c:v>
                </c:pt>
                <c:pt idx="9" formatCode="0.0%">
                  <c:v>5.9903999999999869E-3</c:v>
                </c:pt>
                <c:pt idx="10" formatCode="0.0%">
                  <c:v>7.0335999999999455E-3</c:v>
                </c:pt>
                <c:pt idx="11" formatCode="0.0%">
                  <c:v>8.089600000000018E-3</c:v>
                </c:pt>
                <c:pt idx="12" formatCode="0.0%">
                  <c:v>9.158399999999978E-3</c:v>
                </c:pt>
                <c:pt idx="13" formatCode="0.0%">
                  <c:v>1.0240000000000056E-2</c:v>
                </c:pt>
                <c:pt idx="14" formatCode="0.0%">
                  <c:v>1.1334400000000017E-2</c:v>
                </c:pt>
                <c:pt idx="15" formatCode="0.0%">
                  <c:v>1.2441599999999976E-2</c:v>
                </c:pt>
                <c:pt idx="16" formatCode="0.0%">
                  <c:v>1.356160000000005E-2</c:v>
                </c:pt>
                <c:pt idx="17" formatCode="0.0%">
                  <c:v>1.4694400000000005E-2</c:v>
                </c:pt>
                <c:pt idx="18" formatCode="0.0%">
                  <c:v>1.5839999999999962E-2</c:v>
                </c:pt>
                <c:pt idx="19" formatCode="0.0%">
                  <c:v>1.6998400000000045E-2</c:v>
                </c:pt>
                <c:pt idx="20" formatCode="0.0%">
                  <c:v>1.8169600000000004E-2</c:v>
                </c:pt>
                <c:pt idx="21" formatCode="0.0%">
                  <c:v>1.9353599999999964E-2</c:v>
                </c:pt>
                <c:pt idx="22" formatCode="0.0%">
                  <c:v>2.0550400000000038E-2</c:v>
                </c:pt>
                <c:pt idx="23" formatCode="0.0%">
                  <c:v>2.1759999999999988E-2</c:v>
                </c:pt>
                <c:pt idx="24" formatCode="0.0%">
                  <c:v>2.2982399999999948E-2</c:v>
                </c:pt>
                <c:pt idx="25" formatCode="0.0%">
                  <c:v>2.4217600000000034E-2</c:v>
                </c:pt>
                <c:pt idx="26" formatCode="0.0%">
                  <c:v>2.5465599999999991E-2</c:v>
                </c:pt>
                <c:pt idx="27" formatCode="0.0%">
                  <c:v>2.6726399999999938E-2</c:v>
                </c:pt>
                <c:pt idx="28" formatCode="0.0%">
                  <c:v>2.8000000000000028E-2</c:v>
                </c:pt>
                <c:pt idx="29" formatCode="0.0%">
                  <c:v>2.9286399999999973E-2</c:v>
                </c:pt>
                <c:pt idx="30" formatCode="0.0%">
                  <c:v>3.0585599999999932E-2</c:v>
                </c:pt>
                <c:pt idx="31" formatCode="0.0%">
                  <c:v>3.1897600000000019E-2</c:v>
                </c:pt>
                <c:pt idx="32" formatCode="0.0%">
                  <c:v>3.3222399999999978E-2</c:v>
                </c:pt>
                <c:pt idx="33" formatCode="0.0%">
                  <c:v>3.4559999999999924E-2</c:v>
                </c:pt>
              </c:numCache>
            </c:numRef>
          </c:val>
          <c:extLst>
            <c:ext xmlns:c16="http://schemas.microsoft.com/office/drawing/2014/chart" uri="{C3380CC4-5D6E-409C-BE32-E72D297353CC}">
              <c16:uniqueId val="{0000000F-0DD6-4935-8525-56D84017001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0DD6-4935-8525-56D84017001D}"/>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0DD6-4935-8525-56D84017001D}"/>
              </c:ext>
            </c:extLst>
          </c:dPt>
          <c:dLbls>
            <c:dLbl>
              <c:idx val="3"/>
              <c:layout>
                <c:manualLayout>
                  <c:x val="-3.6657825103837582E-2"/>
                  <c:y val="0.32260399546126595"/>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497936077745884"/>
                      <c:h val="3.3486916755492903E-2"/>
                    </c:manualLayout>
                  </c15:layout>
                </c:ext>
                <c:ext xmlns:c16="http://schemas.microsoft.com/office/drawing/2014/chart" uri="{C3380CC4-5D6E-409C-BE32-E72D297353CC}">
                  <c16:uniqueId val="{00000011-0DD6-4935-8525-56D8401700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12-0DD6-4935-8525-56D84017001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13-0DD6-4935-8525-56D84017001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80%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calculations'!$FP$6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calculations'!$FP$7:$FP$40</c:f>
              <c:numCache>
                <c:formatCode>0%</c:formatCode>
                <c:ptCount val="34"/>
                <c:pt idx="0">
                  <c:v>1</c:v>
                </c:pt>
                <c:pt idx="1">
                  <c:v>0.98333333333333328</c:v>
                </c:pt>
                <c:pt idx="2">
                  <c:v>0.96666666666666656</c:v>
                </c:pt>
                <c:pt idx="3" formatCode="0.00%">
                  <c:v>0.95</c:v>
                </c:pt>
                <c:pt idx="4" formatCode="0.00%">
                  <c:v>0.937254185620915</c:v>
                </c:pt>
                <c:pt idx="5" formatCode="0.00%">
                  <c:v>0.92425125228758165</c:v>
                </c:pt>
                <c:pt idx="6" formatCode="0.00%">
                  <c:v>0.90478872812243472</c:v>
                </c:pt>
                <c:pt idx="7" formatCode="0.00%">
                  <c:v>0.88441116182762824</c:v>
                </c:pt>
                <c:pt idx="8" formatCode="0.00%">
                  <c:v>0.86221308539149655</c:v>
                </c:pt>
                <c:pt idx="9" formatCode="0.00%">
                  <c:v>0.83906595387929761</c:v>
                </c:pt>
                <c:pt idx="10" formatCode="0.00%">
                  <c:v>0.81495853004859597</c:v>
                </c:pt>
                <c:pt idx="11" formatCode="0.00%">
                  <c:v>0.78987957665695718</c:v>
                </c:pt>
                <c:pt idx="12" formatCode="0.00%">
                  <c:v>0.76381785646194666</c:v>
                </c:pt>
                <c:pt idx="13" formatCode="0.00%">
                  <c:v>0.73333356079255774</c:v>
                </c:pt>
                <c:pt idx="14" formatCode="0.00%">
                  <c:v>0.70180116669207027</c:v>
                </c:pt>
                <c:pt idx="15" formatCode="0.00%">
                  <c:v>0.66920943691804946</c:v>
                </c:pt>
                <c:pt idx="16" formatCode="0.00%">
                  <c:v>0.63554713422806031</c:v>
                </c:pt>
                <c:pt idx="17" formatCode="0.00%">
                  <c:v>0.60080302137966834</c:v>
                </c:pt>
                <c:pt idx="18" formatCode="0.00%">
                  <c:v>0.56496586113043867</c:v>
                </c:pt>
                <c:pt idx="19" formatCode="0.00%">
                  <c:v>0.52802441623793606</c:v>
                </c:pt>
                <c:pt idx="20" formatCode="0.00%">
                  <c:v>0.48996744945972603</c:v>
                </c:pt>
                <c:pt idx="21" formatCode="0.00%">
                  <c:v>0.45637318237690383</c:v>
                </c:pt>
                <c:pt idx="22" formatCode="0.00%">
                  <c:v>0.42170746009997506</c:v>
                </c:pt>
                <c:pt idx="23" formatCode="0.00%">
                  <c:v>0.38595904538650538</c:v>
                </c:pt>
                <c:pt idx="24" formatCode="0.00%">
                  <c:v>0.36039072669685202</c:v>
                </c:pt>
                <c:pt idx="25" formatCode="0.00%">
                  <c:v>0.33563787783708376</c:v>
                </c:pt>
                <c:pt idx="26" formatCode="0.00%">
                  <c:v>0.31056929880720008</c:v>
                </c:pt>
                <c:pt idx="27" formatCode="0.00%">
                  <c:v>0.28518498960720096</c:v>
                </c:pt>
                <c:pt idx="28" formatCode="0.00%">
                  <c:v>0.2594849502370864</c:v>
                </c:pt>
                <c:pt idx="29" formatCode="0.00%">
                  <c:v>0.23346918069685663</c:v>
                </c:pt>
                <c:pt idx="30" formatCode="0.00%">
                  <c:v>0.20713768098651109</c:v>
                </c:pt>
                <c:pt idx="31" formatCode="0.00%">
                  <c:v>0.18049045110605044</c:v>
                </c:pt>
                <c:pt idx="32" formatCode="0.00%">
                  <c:v>0.1535274910554737</c:v>
                </c:pt>
                <c:pt idx="33" formatCode="0.00%">
                  <c:v>0.1262488008347824</c:v>
                </c:pt>
              </c:numCache>
            </c:numRef>
          </c:val>
          <c:extLst>
            <c:ext xmlns:c16="http://schemas.microsoft.com/office/drawing/2014/chart" uri="{C3380CC4-5D6E-409C-BE32-E72D297353CC}">
              <c16:uniqueId val="{00000000-3007-443F-83FF-43E45AAFA7E4}"/>
            </c:ext>
          </c:extLst>
        </c:ser>
        <c:ser>
          <c:idx val="11"/>
          <c:order val="1"/>
          <c:tx>
            <c:strRef>
              <c:f>'Stress calculations'!$FR$6</c:f>
              <c:strCache>
                <c:ptCount val="1"/>
                <c:pt idx="0">
                  <c:v>80%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calculations'!$FR$7:$FR$40</c:f>
              <c:numCache>
                <c:formatCode>0.00%</c:formatCode>
                <c:ptCount val="34"/>
                <c:pt idx="0">
                  <c:v>0</c:v>
                </c:pt>
                <c:pt idx="1">
                  <c:v>0</c:v>
                </c:pt>
                <c:pt idx="2">
                  <c:v>0</c:v>
                </c:pt>
                <c:pt idx="3">
                  <c:v>0</c:v>
                </c:pt>
                <c:pt idx="4" formatCode="0.0%">
                  <c:v>0</c:v>
                </c:pt>
                <c:pt idx="5" formatCode="0.0%">
                  <c:v>0</c:v>
                </c:pt>
                <c:pt idx="6" formatCode="0.0%">
                  <c:v>9.8501118775652183E-3</c:v>
                </c:pt>
                <c:pt idx="7" formatCode="0.0%">
                  <c:v>2.0405828499169085E-2</c:v>
                </c:pt>
                <c:pt idx="8" formatCode="0.0%">
                  <c:v>3.1678387107246381E-2</c:v>
                </c:pt>
                <c:pt idx="9" formatCode="0.0%">
                  <c:v>4.3679024944231891E-2</c:v>
                </c:pt>
                <c:pt idx="10" formatCode="0.0%">
                  <c:v>5.641897925256039E-2</c:v>
                </c:pt>
                <c:pt idx="11" formatCode="0.0%">
                  <c:v>6.9909487274666657E-2</c:v>
                </c:pt>
                <c:pt idx="12" formatCode="0.0%">
                  <c:v>8.416178625298551E-2</c:v>
                </c:pt>
                <c:pt idx="13" formatCode="0.0%">
                  <c:v>9.9187113429951707E-2</c:v>
                </c:pt>
                <c:pt idx="14" formatCode="0.0%">
                  <c:v>0.11499670604800004</c:v>
                </c:pt>
                <c:pt idx="15" formatCode="0.0%">
                  <c:v>0.13160180134956528</c:v>
                </c:pt>
                <c:pt idx="16" formatCode="0.0%">
                  <c:v>0.14901363657708216</c:v>
                </c:pt>
                <c:pt idx="17" formatCode="0.0%">
                  <c:v>0.16724344897298551</c:v>
                </c:pt>
                <c:pt idx="18" formatCode="0.0%">
                  <c:v>0.18630247577971012</c:v>
                </c:pt>
                <c:pt idx="19" formatCode="0.0%">
                  <c:v>0.20620195423969084</c:v>
                </c:pt>
                <c:pt idx="20" formatCode="0.0%">
                  <c:v>0.22695312159536238</c:v>
                </c:pt>
                <c:pt idx="21" formatCode="0.0%">
                  <c:v>0.24856721508915952</c:v>
                </c:pt>
                <c:pt idx="22" formatCode="0.0%">
                  <c:v>0.27105547196351698</c:v>
                </c:pt>
                <c:pt idx="23" formatCode="0.0%">
                  <c:v>0.29442912946086952</c:v>
                </c:pt>
                <c:pt idx="24" formatCode="0.0%">
                  <c:v>0.30192577088556521</c:v>
                </c:pt>
                <c:pt idx="25" formatCode="0.0%">
                  <c:v>0.30948983576486966</c:v>
                </c:pt>
                <c:pt idx="26" formatCode="0.0%">
                  <c:v>0.31712132409878274</c:v>
                </c:pt>
                <c:pt idx="27" formatCode="0.0%">
                  <c:v>0.32482023588730435</c:v>
                </c:pt>
                <c:pt idx="28" formatCode="0.0%">
                  <c:v>0.33258657113043488</c:v>
                </c:pt>
                <c:pt idx="29" formatCode="0.0%">
                  <c:v>0.34042032982817388</c:v>
                </c:pt>
                <c:pt idx="30" formatCode="0.0%">
                  <c:v>0.3483215119805218</c:v>
                </c:pt>
                <c:pt idx="31" formatCode="0.0%">
                  <c:v>0.35629011758747836</c:v>
                </c:pt>
                <c:pt idx="32" formatCode="0.0%">
                  <c:v>0.36432614664904361</c:v>
                </c:pt>
                <c:pt idx="33" formatCode="0.0%">
                  <c:v>0.37242959916521745</c:v>
                </c:pt>
              </c:numCache>
            </c:numRef>
          </c:val>
          <c:extLst>
            <c:ext xmlns:c16="http://schemas.microsoft.com/office/drawing/2014/chart" uri="{C3380CC4-5D6E-409C-BE32-E72D297353CC}">
              <c16:uniqueId val="{00000001-3007-443F-83FF-43E45AAFA7E4}"/>
            </c:ext>
          </c:extLst>
        </c:ser>
        <c:ser>
          <c:idx val="4"/>
          <c:order val="2"/>
          <c:tx>
            <c:strRef>
              <c:f>'Stress calculations'!$FS$6</c:f>
              <c:strCache>
                <c:ptCount val="1"/>
                <c:pt idx="0">
                  <c:v>ICE fuel efficiency@80%BEV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calculations'!$FS$7:$FS$40</c:f>
              <c:numCache>
                <c:formatCode>0.00%</c:formatCode>
                <c:ptCount val="34"/>
                <c:pt idx="0">
                  <c:v>0</c:v>
                </c:pt>
                <c:pt idx="1">
                  <c:v>0</c:v>
                </c:pt>
                <c:pt idx="2">
                  <c:v>0</c:v>
                </c:pt>
                <c:pt idx="3">
                  <c:v>0</c:v>
                </c:pt>
                <c:pt idx="4" formatCode="0.0%">
                  <c:v>5.0238588235294096E-3</c:v>
                </c:pt>
                <c:pt idx="5" formatCode="0.0%">
                  <c:v>1.0114258823529409E-2</c:v>
                </c:pt>
                <c:pt idx="6" formatCode="0.0%">
                  <c:v>1.1368559999999996E-2</c:v>
                </c:pt>
                <c:pt idx="7" formatCode="0.0%">
                  <c:v>1.2638387450980386E-2</c:v>
                </c:pt>
                <c:pt idx="8" formatCode="0.0%">
                  <c:v>1.3923741176470583E-2</c:v>
                </c:pt>
                <c:pt idx="9" formatCode="0.0%">
                  <c:v>1.5224621176470582E-2</c:v>
                </c:pt>
                <c:pt idx="10" formatCode="0.0%">
                  <c:v>1.6541027450980381E-2</c:v>
                </c:pt>
                <c:pt idx="11" formatCode="0.0%">
                  <c:v>1.7872959999999986E-2</c:v>
                </c:pt>
                <c:pt idx="12" formatCode="0.0%">
                  <c:v>1.9220418823529397E-2</c:v>
                </c:pt>
                <c:pt idx="13" formatCode="0.0%">
                  <c:v>2.0583403921568617E-2</c:v>
                </c:pt>
                <c:pt idx="14" formatCode="0.0%">
                  <c:v>2.1961915294117625E-2</c:v>
                </c:pt>
                <c:pt idx="15" formatCode="0.0%">
                  <c:v>2.3355952941176469E-2</c:v>
                </c:pt>
                <c:pt idx="16" formatCode="0.0%">
                  <c:v>2.4765516862745082E-2</c:v>
                </c:pt>
                <c:pt idx="17" formatCode="0.0%">
                  <c:v>2.6190607058823513E-2</c:v>
                </c:pt>
                <c:pt idx="18" formatCode="0.0%">
                  <c:v>2.7631223529411754E-2</c:v>
                </c:pt>
                <c:pt idx="19" formatCode="0.0%">
                  <c:v>2.90873662745098E-2</c:v>
                </c:pt>
                <c:pt idx="20" formatCode="0.0%">
                  <c:v>3.0559035294117663E-2</c:v>
                </c:pt>
                <c:pt idx="21" formatCode="0.0%">
                  <c:v>2.6456771764705886E-2</c:v>
                </c:pt>
                <c:pt idx="22" formatCode="0.0%">
                  <c:v>2.2303493333333334E-2</c:v>
                </c:pt>
                <c:pt idx="23" formatCode="0.0%">
                  <c:v>1.8099199999999968E-2</c:v>
                </c:pt>
                <c:pt idx="24" formatCode="0.0%">
                  <c:v>1.9343519999999999E-2</c:v>
                </c:pt>
                <c:pt idx="25" formatCode="0.0%">
                  <c:v>1.9456640000000001E-2</c:v>
                </c:pt>
                <c:pt idx="26" formatCode="0.0%">
                  <c:v>1.9569760000000005E-2</c:v>
                </c:pt>
                <c:pt idx="27" formatCode="0.0%">
                  <c:v>1.968288E-2</c:v>
                </c:pt>
                <c:pt idx="28" formatCode="0.0%">
                  <c:v>1.9796000000000001E-2</c:v>
                </c:pt>
                <c:pt idx="29" formatCode="0.0%">
                  <c:v>1.9909119999999995E-2</c:v>
                </c:pt>
                <c:pt idx="30" formatCode="0.0%">
                  <c:v>2.002224E-2</c:v>
                </c:pt>
                <c:pt idx="31" formatCode="0.0%">
                  <c:v>2.0135360000000001E-2</c:v>
                </c:pt>
                <c:pt idx="32" formatCode="0.0%">
                  <c:v>2.0248480000000006E-2</c:v>
                </c:pt>
                <c:pt idx="33" formatCode="0.0%">
                  <c:v>2.0361600000000001E-2</c:v>
                </c:pt>
              </c:numCache>
            </c:numRef>
          </c:val>
          <c:extLst>
            <c:ext xmlns:c16="http://schemas.microsoft.com/office/drawing/2014/chart" uri="{C3380CC4-5D6E-409C-BE32-E72D297353CC}">
              <c16:uniqueId val="{00000002-3007-443F-83FF-43E45AAFA7E4}"/>
            </c:ext>
          </c:extLst>
        </c:ser>
        <c:ser>
          <c:idx val="0"/>
          <c:order val="3"/>
          <c:tx>
            <c:strRef>
              <c:f>'Stress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calculations'!$FE$7:$FE$40</c:f>
              <c:numCache>
                <c:formatCode>0.00%</c:formatCode>
                <c:ptCount val="34"/>
                <c:pt idx="0">
                  <c:v>0</c:v>
                </c:pt>
                <c:pt idx="1">
                  <c:v>0</c:v>
                </c:pt>
                <c:pt idx="2">
                  <c:v>0</c:v>
                </c:pt>
                <c:pt idx="3">
                  <c:v>0</c:v>
                </c:pt>
                <c:pt idx="4" formatCode="0.0%">
                  <c:v>8.229683698296875E-3</c:v>
                </c:pt>
                <c:pt idx="5" formatCode="0.0%">
                  <c:v>1.6568369829683665E-2</c:v>
                </c:pt>
                <c:pt idx="6" formatCode="0.0%">
                  <c:v>2.501605839416059E-2</c:v>
                </c:pt>
                <c:pt idx="7" formatCode="0.0%">
                  <c:v>3.3572749391727538E-2</c:v>
                </c:pt>
                <c:pt idx="8" formatCode="0.0%">
                  <c:v>4.2238442822384405E-2</c:v>
                </c:pt>
                <c:pt idx="9" formatCode="0.0%">
                  <c:v>5.1013138686131401E-2</c:v>
                </c:pt>
                <c:pt idx="10" formatCode="0.0%">
                  <c:v>5.9896836982968417E-2</c:v>
                </c:pt>
                <c:pt idx="11" formatCode="0.0%">
                  <c:v>6.8889537712895327E-2</c:v>
                </c:pt>
                <c:pt idx="12" formatCode="0.0%">
                  <c:v>7.7991240875912415E-2</c:v>
                </c:pt>
                <c:pt idx="13" formatCode="0.0%">
                  <c:v>8.7201946472019398E-2</c:v>
                </c:pt>
                <c:pt idx="14" formatCode="0.0%">
                  <c:v>9.6521654501216539E-2</c:v>
                </c:pt>
                <c:pt idx="15" formatCode="0.0%">
                  <c:v>0.1059503649635037</c:v>
                </c:pt>
                <c:pt idx="16" formatCode="0.0%">
                  <c:v>0.11548807785888072</c:v>
                </c:pt>
                <c:pt idx="17" formatCode="0.0%">
                  <c:v>0.12513479318734788</c:v>
                </c:pt>
                <c:pt idx="18" formatCode="0.0%">
                  <c:v>0.13489051094890511</c:v>
                </c:pt>
                <c:pt idx="19" formatCode="0.0%">
                  <c:v>0.14475523114355227</c:v>
                </c:pt>
                <c:pt idx="20" formatCode="0.0%">
                  <c:v>0.15472895377128956</c:v>
                </c:pt>
                <c:pt idx="21" formatCode="0.0%">
                  <c:v>0.16481167883211686</c:v>
                </c:pt>
                <c:pt idx="22" formatCode="0.0%">
                  <c:v>0.17500340632603403</c:v>
                </c:pt>
                <c:pt idx="23" formatCode="0.0%">
                  <c:v>0.18530413625304132</c:v>
                </c:pt>
                <c:pt idx="24" formatCode="0.0%">
                  <c:v>0.19571386861313872</c:v>
                </c:pt>
                <c:pt idx="25" formatCode="0.0%">
                  <c:v>0.20623260340632613</c:v>
                </c:pt>
                <c:pt idx="26" formatCode="0.0%">
                  <c:v>0.21686034063260345</c:v>
                </c:pt>
                <c:pt idx="27" formatCode="0.0%">
                  <c:v>0.22759708029197084</c:v>
                </c:pt>
                <c:pt idx="28" formatCode="0.0%">
                  <c:v>0.23844282238442835</c:v>
                </c:pt>
                <c:pt idx="29" formatCode="0.0%">
                  <c:v>0.24939756690997578</c:v>
                </c:pt>
                <c:pt idx="30" formatCode="0.0%">
                  <c:v>0.26046131386861326</c:v>
                </c:pt>
                <c:pt idx="31" formatCode="0.0%">
                  <c:v>0.27163406326034079</c:v>
                </c:pt>
                <c:pt idx="32" formatCode="0.0%">
                  <c:v>0.28291581508515834</c:v>
                </c:pt>
                <c:pt idx="33" formatCode="0.0%">
                  <c:v>0.29430656934306587</c:v>
                </c:pt>
              </c:numCache>
            </c:numRef>
          </c:val>
          <c:extLst>
            <c:ext xmlns:c16="http://schemas.microsoft.com/office/drawing/2014/chart" uri="{C3380CC4-5D6E-409C-BE32-E72D297353CC}">
              <c16:uniqueId val="{00000004-3007-443F-83FF-43E45AAFA7E4}"/>
            </c:ext>
          </c:extLst>
        </c:ser>
        <c:ser>
          <c:idx val="12"/>
          <c:order val="4"/>
          <c:tx>
            <c:strRef>
              <c:f>'Stress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calculations'!$FF$7:$FF$40</c:f>
              <c:numCache>
                <c:formatCode>0.00%</c:formatCode>
                <c:ptCount val="34"/>
                <c:pt idx="0">
                  <c:v>0</c:v>
                </c:pt>
                <c:pt idx="1">
                  <c:v>0</c:v>
                </c:pt>
                <c:pt idx="2">
                  <c:v>0</c:v>
                </c:pt>
                <c:pt idx="3">
                  <c:v>0</c:v>
                </c:pt>
                <c:pt idx="4" formatCode="0.0%">
                  <c:v>3.50251419302519E-3</c:v>
                </c:pt>
                <c:pt idx="5" formatCode="0.0%">
                  <c:v>7.0514193025141784E-3</c:v>
                </c:pt>
                <c:pt idx="6" formatCode="0.0%">
                  <c:v>1.0646715328467187E-2</c:v>
                </c:pt>
                <c:pt idx="7" formatCode="0.0%">
                  <c:v>1.4288402270883991E-2</c:v>
                </c:pt>
                <c:pt idx="8" formatCode="0.0%">
                  <c:v>1.797648012976482E-2</c:v>
                </c:pt>
                <c:pt idx="9" formatCode="0.0%">
                  <c:v>2.1710948905109443E-2</c:v>
                </c:pt>
                <c:pt idx="10" formatCode="0.0%">
                  <c:v>2.5491808596918089E-2</c:v>
                </c:pt>
                <c:pt idx="11" formatCode="0.0%">
                  <c:v>2.9319059205190637E-2</c:v>
                </c:pt>
                <c:pt idx="12" formatCode="0.0%">
                  <c:v>3.3192700729926986E-2</c:v>
                </c:pt>
                <c:pt idx="13" formatCode="0.0%">
                  <c:v>3.7112733171127371E-2</c:v>
                </c:pt>
                <c:pt idx="14" formatCode="0.0%">
                  <c:v>4.1079156528791544E-2</c:v>
                </c:pt>
                <c:pt idx="15" formatCode="0.0%">
                  <c:v>4.509197080291974E-2</c:v>
                </c:pt>
                <c:pt idx="16" formatCode="0.0%">
                  <c:v>4.9151175993511716E-2</c:v>
                </c:pt>
                <c:pt idx="17" formatCode="0.0%">
                  <c:v>5.3256772100567715E-2</c:v>
                </c:pt>
                <c:pt idx="18" formatCode="0.0%">
                  <c:v>5.7408759124087522E-2</c:v>
                </c:pt>
                <c:pt idx="19" formatCode="0.0%">
                  <c:v>6.1607137064071359E-2</c:v>
                </c:pt>
                <c:pt idx="20" formatCode="0.0%">
                  <c:v>6.5851905920519108E-2</c:v>
                </c:pt>
                <c:pt idx="21" formatCode="0.0%">
                  <c:v>7.0143065693430651E-2</c:v>
                </c:pt>
                <c:pt idx="22" formatCode="0.0%">
                  <c:v>7.4480616382806189E-2</c:v>
                </c:pt>
                <c:pt idx="23" formatCode="0.0%">
                  <c:v>7.8864557988645514E-2</c:v>
                </c:pt>
                <c:pt idx="24" formatCode="0.0%">
                  <c:v>8.3294890510948905E-2</c:v>
                </c:pt>
                <c:pt idx="25" formatCode="0.0%">
                  <c:v>8.7771613949716207E-2</c:v>
                </c:pt>
                <c:pt idx="26" formatCode="0.0%">
                  <c:v>9.2294728304947296E-2</c:v>
                </c:pt>
                <c:pt idx="27" formatCode="0.0%">
                  <c:v>9.6864233576642381E-2</c:v>
                </c:pt>
                <c:pt idx="28" formatCode="0.0%">
                  <c:v>0.10148012976480141</c:v>
                </c:pt>
                <c:pt idx="29" formatCode="0.0%">
                  <c:v>0.10614241686942417</c:v>
                </c:pt>
                <c:pt idx="30" formatCode="0.0%">
                  <c:v>0.11085109489051102</c:v>
                </c:pt>
                <c:pt idx="31" formatCode="0.0%">
                  <c:v>0.11560616382806166</c:v>
                </c:pt>
                <c:pt idx="32" formatCode="0.0%">
                  <c:v>0.12040762368207633</c:v>
                </c:pt>
                <c:pt idx="33" formatCode="0.0%">
                  <c:v>0.12525547445255486</c:v>
                </c:pt>
              </c:numCache>
            </c:numRef>
          </c:val>
          <c:extLst>
            <c:ext xmlns:c16="http://schemas.microsoft.com/office/drawing/2014/chart" uri="{C3380CC4-5D6E-409C-BE32-E72D297353CC}">
              <c16:uniqueId val="{00000006-3007-443F-83FF-43E45AAFA7E4}"/>
            </c:ext>
          </c:extLst>
        </c:ser>
        <c:ser>
          <c:idx val="7"/>
          <c:order val="5"/>
          <c:tx>
            <c:strRef>
              <c:f>'Stress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calculations'!$FG$7:$FG$40</c:f>
              <c:numCache>
                <c:formatCode>0.00%</c:formatCode>
                <c:ptCount val="34"/>
                <c:pt idx="0">
                  <c:v>0</c:v>
                </c:pt>
                <c:pt idx="1">
                  <c:v>0</c:v>
                </c:pt>
                <c:pt idx="2">
                  <c:v>0</c:v>
                </c:pt>
                <c:pt idx="3">
                  <c:v>0</c:v>
                </c:pt>
                <c:pt idx="4" formatCode="0.0%">
                  <c:v>1.6900243309002421E-3</c:v>
                </c:pt>
                <c:pt idx="5" formatCode="0.0%">
                  <c:v>3.4024330900243294E-3</c:v>
                </c:pt>
                <c:pt idx="6" formatCode="0.0%">
                  <c:v>5.1372262773722597E-3</c:v>
                </c:pt>
                <c:pt idx="7" formatCode="0.0%">
                  <c:v>6.894403892944035E-3</c:v>
                </c:pt>
                <c:pt idx="8" formatCode="0.0%">
                  <c:v>8.6739659367396551E-3</c:v>
                </c:pt>
                <c:pt idx="9" formatCode="0.0%">
                  <c:v>1.0475912408759119E-2</c:v>
                </c:pt>
                <c:pt idx="10" formatCode="0.0%">
                  <c:v>1.2300243309002425E-2</c:v>
                </c:pt>
                <c:pt idx="11" formatCode="0.0%">
                  <c:v>1.4146958637469575E-2</c:v>
                </c:pt>
                <c:pt idx="12" formatCode="0.0%">
                  <c:v>1.6016058394160572E-2</c:v>
                </c:pt>
                <c:pt idx="13" formatCode="0.0%">
                  <c:v>1.7907542579075415E-2</c:v>
                </c:pt>
                <c:pt idx="14" formatCode="0.0%">
                  <c:v>1.9821411192214103E-2</c:v>
                </c:pt>
                <c:pt idx="15" formatCode="0.0%">
                  <c:v>2.1757664233576637E-2</c:v>
                </c:pt>
                <c:pt idx="16" formatCode="0.0%">
                  <c:v>2.3716301703163002E-2</c:v>
                </c:pt>
                <c:pt idx="17" formatCode="0.0%">
                  <c:v>2.5697323600973213E-2</c:v>
                </c:pt>
                <c:pt idx="18" formatCode="0.0%">
                  <c:v>2.770072992700728E-2</c:v>
                </c:pt>
                <c:pt idx="19" formatCode="0.0%">
                  <c:v>2.9726520681265189E-2</c:v>
                </c:pt>
                <c:pt idx="20" formatCode="0.0%">
                  <c:v>3.1774695863746948E-2</c:v>
                </c:pt>
                <c:pt idx="21" formatCode="0.0%">
                  <c:v>3.3845255474452544E-2</c:v>
                </c:pt>
                <c:pt idx="22" formatCode="0.0%">
                  <c:v>3.5938199513381973E-2</c:v>
                </c:pt>
                <c:pt idx="23" formatCode="0.0%">
                  <c:v>3.8053527980535247E-2</c:v>
                </c:pt>
                <c:pt idx="24" formatCode="0.0%">
                  <c:v>4.019124087591238E-2</c:v>
                </c:pt>
                <c:pt idx="25" formatCode="0.0%">
                  <c:v>4.2351338199513359E-2</c:v>
                </c:pt>
                <c:pt idx="26" formatCode="0.0%">
                  <c:v>4.4533819951338184E-2</c:v>
                </c:pt>
                <c:pt idx="27" formatCode="0.0%">
                  <c:v>4.6738686131386833E-2</c:v>
                </c:pt>
                <c:pt idx="28" formatCode="0.0%">
                  <c:v>4.8965936739659342E-2</c:v>
                </c:pt>
                <c:pt idx="29" formatCode="0.0%">
                  <c:v>5.1215571776155683E-2</c:v>
                </c:pt>
                <c:pt idx="30" formatCode="0.0%">
                  <c:v>5.3487591240875883E-2</c:v>
                </c:pt>
                <c:pt idx="31" formatCode="0.0%">
                  <c:v>5.5781995133819921E-2</c:v>
                </c:pt>
                <c:pt idx="32" formatCode="0.0%">
                  <c:v>5.8098783454987812E-2</c:v>
                </c:pt>
                <c:pt idx="33" formatCode="0.0%">
                  <c:v>6.0437956204379528E-2</c:v>
                </c:pt>
              </c:numCache>
            </c:numRef>
          </c:val>
          <c:extLst>
            <c:ext xmlns:c16="http://schemas.microsoft.com/office/drawing/2014/chart" uri="{C3380CC4-5D6E-409C-BE32-E72D297353CC}">
              <c16:uniqueId val="{00000008-3007-443F-83FF-43E45AAFA7E4}"/>
            </c:ext>
          </c:extLst>
        </c:ser>
        <c:ser>
          <c:idx val="5"/>
          <c:order val="6"/>
          <c:tx>
            <c:strRef>
              <c:f>'Stress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3.4285714285714401E-3</c:v>
                </c:pt>
                <c:pt idx="14" formatCode="0.0%">
                  <c:v>6.9000000000000242E-3</c:v>
                </c:pt>
                <c:pt idx="15" formatCode="0.0%">
                  <c:v>1.0414285714285753E-2</c:v>
                </c:pt>
                <c:pt idx="16" formatCode="0.0%">
                  <c:v>1.3971428571428619E-2</c:v>
                </c:pt>
                <c:pt idx="17" formatCode="0.0%">
                  <c:v>1.7571428571428627E-2</c:v>
                </c:pt>
                <c:pt idx="18" formatCode="0.0%">
                  <c:v>2.1214285714285661E-2</c:v>
                </c:pt>
                <c:pt idx="19" formatCode="0.0%">
                  <c:v>2.489999999999996E-2</c:v>
                </c:pt>
                <c:pt idx="20" formatCode="0.0%">
                  <c:v>2.8628571428571406E-2</c:v>
                </c:pt>
                <c:pt idx="21" formatCode="0.0%">
                  <c:v>3.2399999999999991E-2</c:v>
                </c:pt>
                <c:pt idx="22" formatCode="0.0%">
                  <c:v>3.6214285714285713E-2</c:v>
                </c:pt>
                <c:pt idx="23" formatCode="0.0%">
                  <c:v>4.007142857142857E-2</c:v>
                </c:pt>
                <c:pt idx="24" formatCode="0.0%">
                  <c:v>4.3971428571428592E-2</c:v>
                </c:pt>
                <c:pt idx="25" formatCode="0.0%">
                  <c:v>4.791428571428575E-2</c:v>
                </c:pt>
                <c:pt idx="26" formatCode="0.0%">
                  <c:v>5.1900000000000057E-2</c:v>
                </c:pt>
                <c:pt idx="27" formatCode="0.0%">
                  <c:v>5.592857142857148E-2</c:v>
                </c:pt>
                <c:pt idx="28" formatCode="0.0%">
                  <c:v>5.9999999999999949E-2</c:v>
                </c:pt>
                <c:pt idx="29" formatCode="0.0%">
                  <c:v>6.4114285714285651E-2</c:v>
                </c:pt>
                <c:pt idx="30" formatCode="0.0%">
                  <c:v>6.8271428571428538E-2</c:v>
                </c:pt>
                <c:pt idx="31" formatCode="0.0%">
                  <c:v>7.2471428571428562E-2</c:v>
                </c:pt>
                <c:pt idx="32" formatCode="0.0%">
                  <c:v>7.6714285714285721E-2</c:v>
                </c:pt>
                <c:pt idx="33" formatCode="0.0%">
                  <c:v>8.1000000000000003E-2</c:v>
                </c:pt>
              </c:numCache>
            </c:numRef>
          </c:val>
          <c:extLst>
            <c:ext xmlns:c16="http://schemas.microsoft.com/office/drawing/2014/chart" uri="{C3380CC4-5D6E-409C-BE32-E72D297353CC}">
              <c16:uniqueId val="{0000000A-3007-443F-83FF-43E45AAFA7E4}"/>
            </c:ext>
          </c:extLst>
        </c:ser>
        <c:ser>
          <c:idx val="9"/>
          <c:order val="7"/>
          <c:tx>
            <c:strRef>
              <c:f>'Stress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8.9423076923081206E-4</c:v>
                </c:pt>
                <c:pt idx="9" formatCode="0.0%">
                  <c:v>1.7999999999999707E-3</c:v>
                </c:pt>
                <c:pt idx="10" formatCode="0.0%">
                  <c:v>2.7173076923077059E-3</c:v>
                </c:pt>
                <c:pt idx="11" formatCode="0.0%">
                  <c:v>3.6461538461539022E-3</c:v>
                </c:pt>
                <c:pt idx="12" formatCode="0.0%">
                  <c:v>4.5865384615384449E-3</c:v>
                </c:pt>
                <c:pt idx="13" formatCode="0.0%">
                  <c:v>5.5384615384615659E-3</c:v>
                </c:pt>
                <c:pt idx="14" formatCode="0.0%">
                  <c:v>6.501923076923031E-3</c:v>
                </c:pt>
                <c:pt idx="15" formatCode="0.0%">
                  <c:v>7.4769230769230763E-3</c:v>
                </c:pt>
                <c:pt idx="16" formatCode="0.0%">
                  <c:v>8.4634615384615811E-3</c:v>
                </c:pt>
                <c:pt idx="17" formatCode="0.0%">
                  <c:v>9.4615384615384258E-3</c:v>
                </c:pt>
                <c:pt idx="18" formatCode="0.0%">
                  <c:v>1.0471153846153856E-2</c:v>
                </c:pt>
                <c:pt idx="19" formatCode="0.0%">
                  <c:v>1.149230769230775E-2</c:v>
                </c:pt>
                <c:pt idx="20" formatCode="0.0%">
                  <c:v>1.2524999999999982E-2</c:v>
                </c:pt>
                <c:pt idx="21" formatCode="0.0%">
                  <c:v>1.35692307692308E-2</c:v>
                </c:pt>
                <c:pt idx="22" formatCode="0.0%">
                  <c:v>1.4624999999999949E-2</c:v>
                </c:pt>
                <c:pt idx="23" formatCode="0.0%">
                  <c:v>1.5692307692307682E-2</c:v>
                </c:pt>
                <c:pt idx="24" formatCode="0.0%">
                  <c:v>1.6771153846153887E-2</c:v>
                </c:pt>
                <c:pt idx="25" formatCode="0.0%">
                  <c:v>1.7861538461538425E-2</c:v>
                </c:pt>
                <c:pt idx="26" formatCode="0.0%">
                  <c:v>1.8963461538461551E-2</c:v>
                </c:pt>
                <c:pt idx="27" formatCode="0.0%">
                  <c:v>2.0076923076923135E-2</c:v>
                </c:pt>
                <c:pt idx="28" formatCode="0.0%">
                  <c:v>2.1201923076923056E-2</c:v>
                </c:pt>
                <c:pt idx="29" formatCode="0.0%">
                  <c:v>2.233846153846156E-2</c:v>
                </c:pt>
                <c:pt idx="30" formatCode="0.0%">
                  <c:v>2.3486538461538402E-2</c:v>
                </c:pt>
                <c:pt idx="31" formatCode="0.0%">
                  <c:v>2.4646153846153838E-2</c:v>
                </c:pt>
                <c:pt idx="32" formatCode="0.0%">
                  <c:v>2.581730769230774E-2</c:v>
                </c:pt>
                <c:pt idx="33" formatCode="0.0%">
                  <c:v>2.6999999999999958E-2</c:v>
                </c:pt>
              </c:numCache>
            </c:numRef>
          </c:val>
          <c:extLst>
            <c:ext xmlns:c16="http://schemas.microsoft.com/office/drawing/2014/chart" uri="{C3380CC4-5D6E-409C-BE32-E72D297353CC}">
              <c16:uniqueId val="{0000000C-3007-443F-83FF-43E45AAFA7E4}"/>
            </c:ext>
          </c:extLst>
        </c:ser>
        <c:ser>
          <c:idx val="6"/>
          <c:order val="8"/>
          <c:tx>
            <c:strRef>
              <c:f>'Stress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calculations'!$FJ$7:$FJ$40</c:f>
              <c:numCache>
                <c:formatCode>0.00%</c:formatCode>
                <c:ptCount val="34"/>
                <c:pt idx="0">
                  <c:v>0</c:v>
                </c:pt>
                <c:pt idx="1">
                  <c:v>0</c:v>
                </c:pt>
                <c:pt idx="2">
                  <c:v>0</c:v>
                </c:pt>
                <c:pt idx="3">
                  <c:v>0</c:v>
                </c:pt>
                <c:pt idx="4" formatCode="0.0%">
                  <c:v>0</c:v>
                </c:pt>
                <c:pt idx="5" formatCode="0.0%">
                  <c:v>0</c:v>
                </c:pt>
                <c:pt idx="6" formatCode="0.0%">
                  <c:v>2.5499999999997194E-4</c:v>
                </c:pt>
                <c:pt idx="7" formatCode="0.0%">
                  <c:v>5.1333333333327682E-4</c:v>
                </c:pt>
                <c:pt idx="8" formatCode="0.0%">
                  <c:v>7.7500000000002946E-4</c:v>
                </c:pt>
                <c:pt idx="9" formatCode="0.0%">
                  <c:v>1.040000000000001E-3</c:v>
                </c:pt>
                <c:pt idx="10" formatCode="0.0%">
                  <c:v>1.3083333333333055E-3</c:v>
                </c:pt>
                <c:pt idx="11" formatCode="0.0%">
                  <c:v>1.5799999999999423E-3</c:v>
                </c:pt>
                <c:pt idx="12" formatCode="0.0%">
                  <c:v>1.8550000000000307E-3</c:v>
                </c:pt>
                <c:pt idx="13" formatCode="0.0%">
                  <c:v>2.1333333333333352E-3</c:v>
                </c:pt>
                <c:pt idx="14" formatCode="0.0%">
                  <c:v>2.4149999999999727E-3</c:v>
                </c:pt>
                <c:pt idx="15" formatCode="0.0%">
                  <c:v>2.6999999999999433E-3</c:v>
                </c:pt>
                <c:pt idx="16" formatCode="0.0%">
                  <c:v>2.9883333333333663E-3</c:v>
                </c:pt>
                <c:pt idx="17" formatCode="0.0%">
                  <c:v>3.2800000000000021E-3</c:v>
                </c:pt>
                <c:pt idx="18" formatCode="0.0%">
                  <c:v>3.5749999999999723E-3</c:v>
                </c:pt>
                <c:pt idx="19" formatCode="0.0%">
                  <c:v>3.8733333333332755E-3</c:v>
                </c:pt>
                <c:pt idx="20" formatCode="0.0%">
                  <c:v>4.1750000000000355E-3</c:v>
                </c:pt>
                <c:pt idx="21" formatCode="0.0%">
                  <c:v>4.4800000000000057E-3</c:v>
                </c:pt>
                <c:pt idx="22" formatCode="0.0%">
                  <c:v>4.7883333333333068E-3</c:v>
                </c:pt>
                <c:pt idx="23" formatCode="0.0%">
                  <c:v>5.0999999999999405E-3</c:v>
                </c:pt>
                <c:pt idx="24" formatCode="0.0%">
                  <c:v>5.4150000000000361E-3</c:v>
                </c:pt>
                <c:pt idx="25" formatCode="0.0%">
                  <c:v>5.7333333333333385E-3</c:v>
                </c:pt>
                <c:pt idx="26" formatCode="0.0%">
                  <c:v>6.0549999999999745E-3</c:v>
                </c:pt>
                <c:pt idx="27" formatCode="0.0%">
                  <c:v>6.3799999999999404E-3</c:v>
                </c:pt>
                <c:pt idx="28" formatCode="0.0%">
                  <c:v>6.7083333333333717E-3</c:v>
                </c:pt>
                <c:pt idx="29" formatCode="0.0%">
                  <c:v>7.0400000000000046E-3</c:v>
                </c:pt>
                <c:pt idx="30" formatCode="0.0%">
                  <c:v>7.3749999999999736E-3</c:v>
                </c:pt>
                <c:pt idx="31" formatCode="0.0%">
                  <c:v>7.7133333333332752E-3</c:v>
                </c:pt>
                <c:pt idx="32" formatCode="0.0%">
                  <c:v>8.0550000000000413E-3</c:v>
                </c:pt>
                <c:pt idx="33" formatCode="0.0%">
                  <c:v>8.4000000000000064E-3</c:v>
                </c:pt>
              </c:numCache>
            </c:numRef>
          </c:val>
          <c:extLst>
            <c:ext xmlns:c16="http://schemas.microsoft.com/office/drawing/2014/chart" uri="{C3380CC4-5D6E-409C-BE32-E72D297353CC}">
              <c16:uniqueId val="{0000000D-3007-443F-83FF-43E45AAFA7E4}"/>
            </c:ext>
          </c:extLst>
        </c:ser>
        <c:ser>
          <c:idx val="3"/>
          <c:order val="9"/>
          <c:tx>
            <c:strRef>
              <c:f>'Stress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calculations'!$FK$7:$FK$40</c:f>
              <c:numCache>
                <c:formatCode>0.00%</c:formatCode>
                <c:ptCount val="34"/>
                <c:pt idx="0">
                  <c:v>0</c:v>
                </c:pt>
                <c:pt idx="1">
                  <c:v>0</c:v>
                </c:pt>
                <c:pt idx="2">
                  <c:v>0</c:v>
                </c:pt>
                <c:pt idx="3">
                  <c:v>0</c:v>
                </c:pt>
                <c:pt idx="4" formatCode="0.0%">
                  <c:v>9.6639999999996061E-4</c:v>
                </c:pt>
                <c:pt idx="5" formatCode="0.0%">
                  <c:v>1.9456000000000334E-3</c:v>
                </c:pt>
                <c:pt idx="6" formatCode="0.0%">
                  <c:v>2.9375999999999938E-3</c:v>
                </c:pt>
                <c:pt idx="7" formatCode="0.0%">
                  <c:v>3.9423999999999536E-3</c:v>
                </c:pt>
                <c:pt idx="8" formatCode="0.0%">
                  <c:v>4.9600000000000278E-3</c:v>
                </c:pt>
                <c:pt idx="9" formatCode="0.0%">
                  <c:v>5.9903999999999869E-3</c:v>
                </c:pt>
                <c:pt idx="10" formatCode="0.0%">
                  <c:v>7.0335999999999455E-3</c:v>
                </c:pt>
                <c:pt idx="11" formatCode="0.0%">
                  <c:v>8.089600000000018E-3</c:v>
                </c:pt>
                <c:pt idx="12" formatCode="0.0%">
                  <c:v>9.158399999999978E-3</c:v>
                </c:pt>
                <c:pt idx="13" formatCode="0.0%">
                  <c:v>1.0240000000000056E-2</c:v>
                </c:pt>
                <c:pt idx="14" formatCode="0.0%">
                  <c:v>1.1334400000000017E-2</c:v>
                </c:pt>
                <c:pt idx="15" formatCode="0.0%">
                  <c:v>1.2441599999999976E-2</c:v>
                </c:pt>
                <c:pt idx="16" formatCode="0.0%">
                  <c:v>1.356160000000005E-2</c:v>
                </c:pt>
                <c:pt idx="17" formatCode="0.0%">
                  <c:v>1.4694400000000005E-2</c:v>
                </c:pt>
                <c:pt idx="18" formatCode="0.0%">
                  <c:v>1.5839999999999962E-2</c:v>
                </c:pt>
                <c:pt idx="19" formatCode="0.0%">
                  <c:v>1.6998400000000045E-2</c:v>
                </c:pt>
                <c:pt idx="20" formatCode="0.0%">
                  <c:v>1.8169600000000004E-2</c:v>
                </c:pt>
                <c:pt idx="21" formatCode="0.0%">
                  <c:v>1.9353599999999964E-2</c:v>
                </c:pt>
                <c:pt idx="22" formatCode="0.0%">
                  <c:v>2.0550400000000038E-2</c:v>
                </c:pt>
                <c:pt idx="23" formatCode="0.0%">
                  <c:v>2.1759999999999988E-2</c:v>
                </c:pt>
                <c:pt idx="24" formatCode="0.0%">
                  <c:v>2.2982399999999948E-2</c:v>
                </c:pt>
                <c:pt idx="25" formatCode="0.0%">
                  <c:v>2.4217600000000034E-2</c:v>
                </c:pt>
                <c:pt idx="26" formatCode="0.0%">
                  <c:v>2.5465599999999991E-2</c:v>
                </c:pt>
                <c:pt idx="27" formatCode="0.0%">
                  <c:v>2.6726399999999938E-2</c:v>
                </c:pt>
                <c:pt idx="28" formatCode="0.0%">
                  <c:v>2.8000000000000028E-2</c:v>
                </c:pt>
                <c:pt idx="29" formatCode="0.0%">
                  <c:v>2.9286399999999973E-2</c:v>
                </c:pt>
                <c:pt idx="30" formatCode="0.0%">
                  <c:v>3.0585599999999932E-2</c:v>
                </c:pt>
                <c:pt idx="31" formatCode="0.0%">
                  <c:v>3.1897600000000019E-2</c:v>
                </c:pt>
                <c:pt idx="32" formatCode="0.0%">
                  <c:v>3.3222399999999978E-2</c:v>
                </c:pt>
                <c:pt idx="33" formatCode="0.0%">
                  <c:v>3.4559999999999924E-2</c:v>
                </c:pt>
              </c:numCache>
            </c:numRef>
          </c:val>
          <c:extLst>
            <c:ext xmlns:c16="http://schemas.microsoft.com/office/drawing/2014/chart" uri="{C3380CC4-5D6E-409C-BE32-E72D297353CC}">
              <c16:uniqueId val="{0000000F-3007-443F-83FF-43E45AAFA7E4}"/>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3007-443F-83FF-43E45AAFA7E4}"/>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3007-443F-83FF-43E45AAFA7E4}"/>
              </c:ext>
            </c:extLst>
          </c:dPt>
          <c:dLbls>
            <c:dLbl>
              <c:idx val="3"/>
              <c:layout>
                <c:manualLayout>
                  <c:x val="-4.1555726265924076E-2"/>
                  <c:y val="0.3243507203520956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0135753152807118"/>
                      <c:h val="3.3486916755492903E-2"/>
                    </c:manualLayout>
                  </c15:layout>
                </c:ext>
                <c:ext xmlns:c16="http://schemas.microsoft.com/office/drawing/2014/chart" uri="{C3380CC4-5D6E-409C-BE32-E72D297353CC}">
                  <c16:uniqueId val="{00000011-3007-443F-83FF-43E45AAFA7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12-3007-443F-83FF-43E45AAFA7E4}"/>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13-3007-443F-83FF-43E45AAFA7E4}"/>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60%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calculations'!$GE$6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calculations'!$GE$7:$GE$40</c:f>
              <c:numCache>
                <c:formatCode>0%</c:formatCode>
                <c:ptCount val="34"/>
                <c:pt idx="0">
                  <c:v>1</c:v>
                </c:pt>
                <c:pt idx="1">
                  <c:v>0.98333333333333328</c:v>
                </c:pt>
                <c:pt idx="2">
                  <c:v>0.96666666666666656</c:v>
                </c:pt>
                <c:pt idx="3" formatCode="0.00%">
                  <c:v>0.95</c:v>
                </c:pt>
                <c:pt idx="4" formatCode="0.00%">
                  <c:v>0.937254185620915</c:v>
                </c:pt>
                <c:pt idx="5" formatCode="0.00%">
                  <c:v>0.92425125228758165</c:v>
                </c:pt>
                <c:pt idx="6" formatCode="0.00%">
                  <c:v>0.90628973609182606</c:v>
                </c:pt>
                <c:pt idx="7" formatCode="0.00%">
                  <c:v>0.88757701006353174</c:v>
                </c:pt>
                <c:pt idx="8" formatCode="0.00%">
                  <c:v>0.86721041550164146</c:v>
                </c:pt>
                <c:pt idx="9" formatCode="0.00%">
                  <c:v>0.84606421678202226</c:v>
                </c:pt>
                <c:pt idx="10" formatCode="0.00%">
                  <c:v>0.82412998597284715</c:v>
                </c:pt>
                <c:pt idx="11" formatCode="0.00%">
                  <c:v>0.80139929514229047</c:v>
                </c:pt>
                <c:pt idx="12" formatCode="0.00%">
                  <c:v>0.77786371635852636</c:v>
                </c:pt>
                <c:pt idx="13" formatCode="0.00%">
                  <c:v>0.75008625026115672</c:v>
                </c:pt>
                <c:pt idx="14" formatCode="0.00%">
                  <c:v>0.72144418320407033</c:v>
                </c:pt>
                <c:pt idx="15" formatCode="0.00%">
                  <c:v>0.69192908725544067</c:v>
                </c:pt>
                <c:pt idx="16" formatCode="0.00%">
                  <c:v>0.66153253448344196</c:v>
                </c:pt>
                <c:pt idx="17" formatCode="0.00%">
                  <c:v>0.630246096956248</c:v>
                </c:pt>
                <c:pt idx="18" formatCode="0.00%">
                  <c:v>0.59806134674203304</c:v>
                </c:pt>
                <c:pt idx="19" formatCode="0.00%">
                  <c:v>0.56496985590896998</c:v>
                </c:pt>
                <c:pt idx="20" formatCode="0.00%">
                  <c:v>0.53096319652523349</c:v>
                </c:pt>
                <c:pt idx="21" formatCode="0.00%">
                  <c:v>0.50162239948252696</c:v>
                </c:pt>
                <c:pt idx="22" formatCode="0.00%">
                  <c:v>0.47141611920196536</c:v>
                </c:pt>
                <c:pt idx="23" formatCode="0.00%">
                  <c:v>0.44033592775172281</c:v>
                </c:pt>
                <c:pt idx="24" formatCode="0.00%">
                  <c:v>0.41652864941824341</c:v>
                </c:pt>
                <c:pt idx="25" formatCode="0.00%">
                  <c:v>0.39355369677830121</c:v>
                </c:pt>
                <c:pt idx="26" formatCode="0.00%">
                  <c:v>0.37027986983189587</c:v>
                </c:pt>
                <c:pt idx="27" formatCode="0.00%">
                  <c:v>0.34670716857902706</c:v>
                </c:pt>
                <c:pt idx="28" formatCode="0.00%">
                  <c:v>0.32283559301969511</c:v>
                </c:pt>
                <c:pt idx="29" formatCode="0.00%">
                  <c:v>0.29866514315390014</c:v>
                </c:pt>
                <c:pt idx="30" formatCode="0.00%">
                  <c:v>0.27419581898164158</c:v>
                </c:pt>
                <c:pt idx="31" formatCode="0.00%">
                  <c:v>0.24942762050292011</c:v>
                </c:pt>
                <c:pt idx="32" formatCode="0.00%">
                  <c:v>0.22436054771773473</c:v>
                </c:pt>
                <c:pt idx="33" formatCode="0.00%">
                  <c:v>0.19899460062608676</c:v>
                </c:pt>
              </c:numCache>
            </c:numRef>
          </c:val>
          <c:extLst>
            <c:ext xmlns:c16="http://schemas.microsoft.com/office/drawing/2014/chart" uri="{C3380CC4-5D6E-409C-BE32-E72D297353CC}">
              <c16:uniqueId val="{00000000-601F-46C4-8703-4D25B4276DFE}"/>
            </c:ext>
          </c:extLst>
        </c:ser>
        <c:ser>
          <c:idx val="11"/>
          <c:order val="1"/>
          <c:tx>
            <c:strRef>
              <c:f>'Stress calculations'!$GG$6</c:f>
              <c:strCache>
                <c:ptCount val="1"/>
                <c:pt idx="0">
                  <c:v>60%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calculations'!$GG$7:$GG$40</c:f>
              <c:numCache>
                <c:formatCode>0.00%</c:formatCode>
                <c:ptCount val="34"/>
                <c:pt idx="0">
                  <c:v>0</c:v>
                </c:pt>
                <c:pt idx="1">
                  <c:v>0</c:v>
                </c:pt>
                <c:pt idx="2">
                  <c:v>0</c:v>
                </c:pt>
                <c:pt idx="3">
                  <c:v>0</c:v>
                </c:pt>
                <c:pt idx="4" formatCode="0.0%">
                  <c:v>0</c:v>
                </c:pt>
                <c:pt idx="5" formatCode="0.0%">
                  <c:v>0</c:v>
                </c:pt>
                <c:pt idx="6" formatCode="0.0%">
                  <c:v>7.3875839081739125E-3</c:v>
                </c:pt>
                <c:pt idx="7" formatCode="0.0%">
                  <c:v>1.530437137437681E-2</c:v>
                </c:pt>
                <c:pt idx="8" formatCode="0.0%">
                  <c:v>2.3758790330434782E-2</c:v>
                </c:pt>
                <c:pt idx="9" formatCode="0.0%">
                  <c:v>3.2759268708173903E-2</c:v>
                </c:pt>
                <c:pt idx="10" formatCode="0.0%">
                  <c:v>4.2314234439420284E-2</c:v>
                </c:pt>
                <c:pt idx="11" formatCode="0.0%">
                  <c:v>5.2432115455999996E-2</c:v>
                </c:pt>
                <c:pt idx="12" formatCode="0.0%">
                  <c:v>6.3121339689739125E-2</c:v>
                </c:pt>
                <c:pt idx="13" formatCode="0.0%">
                  <c:v>7.4390335072463759E-2</c:v>
                </c:pt>
                <c:pt idx="14" formatCode="0.0%">
                  <c:v>8.6247529536000012E-2</c:v>
                </c:pt>
                <c:pt idx="15" formatCode="0.0%">
                  <c:v>9.8701351012173963E-2</c:v>
                </c:pt>
                <c:pt idx="16" formatCode="0.0%">
                  <c:v>0.11176022743281161</c:v>
                </c:pt>
                <c:pt idx="17" formatCode="0.0%">
                  <c:v>0.12543258672973912</c:v>
                </c:pt>
                <c:pt idx="18" formatCode="0.0%">
                  <c:v>0.13972685683478259</c:v>
                </c:pt>
                <c:pt idx="19" formatCode="0.0%">
                  <c:v>0.15465146567976815</c:v>
                </c:pt>
                <c:pt idx="20" formatCode="0.0%">
                  <c:v>0.17021484119652178</c:v>
                </c:pt>
                <c:pt idx="21" formatCode="0.0%">
                  <c:v>0.18642541131686965</c:v>
                </c:pt>
                <c:pt idx="22" formatCode="0.0%">
                  <c:v>0.20329160397263771</c:v>
                </c:pt>
                <c:pt idx="23" formatCode="0.0%">
                  <c:v>0.22082184709565214</c:v>
                </c:pt>
                <c:pt idx="24" formatCode="0.0%">
                  <c:v>0.2264443281641739</c:v>
                </c:pt>
                <c:pt idx="25" formatCode="0.0%">
                  <c:v>0.23211737682365222</c:v>
                </c:pt>
                <c:pt idx="26" formatCode="0.0%">
                  <c:v>0.23784099307408699</c:v>
                </c:pt>
                <c:pt idx="27" formatCode="0.0%">
                  <c:v>0.24361517691547827</c:v>
                </c:pt>
                <c:pt idx="28" formatCode="0.0%">
                  <c:v>0.24943992834782611</c:v>
                </c:pt>
                <c:pt idx="29" formatCode="0.0%">
                  <c:v>0.25531524737113043</c:v>
                </c:pt>
                <c:pt idx="30" formatCode="0.0%">
                  <c:v>0.26124113398539128</c:v>
                </c:pt>
                <c:pt idx="31" formatCode="0.0%">
                  <c:v>0.26721758819060876</c:v>
                </c:pt>
                <c:pt idx="32" formatCode="0.0%">
                  <c:v>0.27324460998678268</c:v>
                </c:pt>
                <c:pt idx="33" formatCode="0.0%">
                  <c:v>0.27932219937391306</c:v>
                </c:pt>
              </c:numCache>
            </c:numRef>
          </c:val>
          <c:extLst>
            <c:ext xmlns:c16="http://schemas.microsoft.com/office/drawing/2014/chart" uri="{C3380CC4-5D6E-409C-BE32-E72D297353CC}">
              <c16:uniqueId val="{00000001-601F-46C4-8703-4D25B4276DFE}"/>
            </c:ext>
          </c:extLst>
        </c:ser>
        <c:ser>
          <c:idx val="4"/>
          <c:order val="2"/>
          <c:tx>
            <c:strRef>
              <c:f>'Stress calculations'!$GH$6</c:f>
              <c:strCache>
                <c:ptCount val="1"/>
                <c:pt idx="0">
                  <c:v>ICE fuel efficiency@60%BEV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calculations'!$GH$7:$GH$40</c:f>
              <c:numCache>
                <c:formatCode>0.00%</c:formatCode>
                <c:ptCount val="34"/>
                <c:pt idx="0">
                  <c:v>0</c:v>
                </c:pt>
                <c:pt idx="1">
                  <c:v>0</c:v>
                </c:pt>
                <c:pt idx="2">
                  <c:v>0</c:v>
                </c:pt>
                <c:pt idx="3">
                  <c:v>0</c:v>
                </c:pt>
                <c:pt idx="4" formatCode="0.0%">
                  <c:v>5.0238588235294096E-3</c:v>
                </c:pt>
                <c:pt idx="5" formatCode="0.0%">
                  <c:v>1.0114258823529409E-2</c:v>
                </c:pt>
                <c:pt idx="6" formatCode="0.0%">
                  <c:v>1.2330079999999997E-2</c:v>
                </c:pt>
                <c:pt idx="7" formatCode="0.0%">
                  <c:v>1.4573996339869274E-2</c:v>
                </c:pt>
                <c:pt idx="8" formatCode="0.0%">
                  <c:v>1.6846007843137251E-2</c:v>
                </c:pt>
                <c:pt idx="9" formatCode="0.0%">
                  <c:v>1.9146114509803913E-2</c:v>
                </c:pt>
                <c:pt idx="10" formatCode="0.0%">
                  <c:v>2.1474316339869268E-2</c:v>
                </c:pt>
                <c:pt idx="11" formatCode="0.0%">
                  <c:v>2.3830613333333316E-2</c:v>
                </c:pt>
                <c:pt idx="12" formatCode="0.0%">
                  <c:v>2.621500549019606E-2</c:v>
                </c:pt>
                <c:pt idx="13" formatCode="0.0%">
                  <c:v>2.8627492810457504E-2</c:v>
                </c:pt>
                <c:pt idx="14" formatCode="0.0%">
                  <c:v>3.1068075294117627E-2</c:v>
                </c:pt>
                <c:pt idx="15" formatCode="0.0%">
                  <c:v>3.3536752941176466E-2</c:v>
                </c:pt>
                <c:pt idx="16" formatCode="0.0%">
                  <c:v>3.6033525751633967E-2</c:v>
                </c:pt>
                <c:pt idx="17" formatCode="0.0%">
                  <c:v>3.8558393725490171E-2</c:v>
                </c:pt>
                <c:pt idx="18" formatCode="0.0%">
                  <c:v>4.1111356862745085E-2</c:v>
                </c:pt>
                <c:pt idx="19" formatCode="0.0%">
                  <c:v>4.3692415163398682E-2</c:v>
                </c:pt>
                <c:pt idx="20" formatCode="0.0%">
                  <c:v>4.6301568627450988E-2</c:v>
                </c:pt>
                <c:pt idx="21" formatCode="0.0%">
                  <c:v>4.3349358431372553E-2</c:v>
                </c:pt>
                <c:pt idx="22" formatCode="0.0%">
                  <c:v>4.0358702222222223E-2</c:v>
                </c:pt>
                <c:pt idx="23" formatCode="0.0%">
                  <c:v>3.7329599999999963E-2</c:v>
                </c:pt>
                <c:pt idx="24" formatCode="0.0%">
                  <c:v>3.8687039999999992E-2</c:v>
                </c:pt>
                <c:pt idx="25" formatCode="0.0%">
                  <c:v>3.8913279999999995E-2</c:v>
                </c:pt>
                <c:pt idx="26" formatCode="0.0%">
                  <c:v>3.9139519999999997E-2</c:v>
                </c:pt>
                <c:pt idx="27" formatCode="0.0%">
                  <c:v>3.9365759999999993E-2</c:v>
                </c:pt>
                <c:pt idx="28" formatCode="0.0%">
                  <c:v>3.9591999999999995E-2</c:v>
                </c:pt>
                <c:pt idx="29" formatCode="0.0%">
                  <c:v>3.9818239999999984E-2</c:v>
                </c:pt>
                <c:pt idx="30" formatCode="0.0%">
                  <c:v>4.0044479999999993E-2</c:v>
                </c:pt>
                <c:pt idx="31" formatCode="0.0%">
                  <c:v>4.0270719999999996E-2</c:v>
                </c:pt>
                <c:pt idx="32" formatCode="0.0%">
                  <c:v>4.0496959999999999E-2</c:v>
                </c:pt>
                <c:pt idx="33" formatCode="0.0%">
                  <c:v>4.0723199999999994E-2</c:v>
                </c:pt>
              </c:numCache>
            </c:numRef>
          </c:val>
          <c:extLst>
            <c:ext xmlns:c16="http://schemas.microsoft.com/office/drawing/2014/chart" uri="{C3380CC4-5D6E-409C-BE32-E72D297353CC}">
              <c16:uniqueId val="{00000002-601F-46C4-8703-4D25B4276DFE}"/>
            </c:ext>
          </c:extLst>
        </c:ser>
        <c:ser>
          <c:idx val="0"/>
          <c:order val="3"/>
          <c:tx>
            <c:strRef>
              <c:f>'Stress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calculations'!$FE$7:$FE$40</c:f>
              <c:numCache>
                <c:formatCode>0.00%</c:formatCode>
                <c:ptCount val="34"/>
                <c:pt idx="0">
                  <c:v>0</c:v>
                </c:pt>
                <c:pt idx="1">
                  <c:v>0</c:v>
                </c:pt>
                <c:pt idx="2">
                  <c:v>0</c:v>
                </c:pt>
                <c:pt idx="3">
                  <c:v>0</c:v>
                </c:pt>
                <c:pt idx="4" formatCode="0.0%">
                  <c:v>8.229683698296875E-3</c:v>
                </c:pt>
                <c:pt idx="5" formatCode="0.0%">
                  <c:v>1.6568369829683665E-2</c:v>
                </c:pt>
                <c:pt idx="6" formatCode="0.0%">
                  <c:v>2.501605839416059E-2</c:v>
                </c:pt>
                <c:pt idx="7" formatCode="0.0%">
                  <c:v>3.3572749391727538E-2</c:v>
                </c:pt>
                <c:pt idx="8" formatCode="0.0%">
                  <c:v>4.2238442822384405E-2</c:v>
                </c:pt>
                <c:pt idx="9" formatCode="0.0%">
                  <c:v>5.1013138686131401E-2</c:v>
                </c:pt>
                <c:pt idx="10" formatCode="0.0%">
                  <c:v>5.9896836982968417E-2</c:v>
                </c:pt>
                <c:pt idx="11" formatCode="0.0%">
                  <c:v>6.8889537712895327E-2</c:v>
                </c:pt>
                <c:pt idx="12" formatCode="0.0%">
                  <c:v>7.7991240875912415E-2</c:v>
                </c:pt>
                <c:pt idx="13" formatCode="0.0%">
                  <c:v>8.7201946472019398E-2</c:v>
                </c:pt>
                <c:pt idx="14" formatCode="0.0%">
                  <c:v>9.6521654501216539E-2</c:v>
                </c:pt>
                <c:pt idx="15" formatCode="0.0%">
                  <c:v>0.1059503649635037</c:v>
                </c:pt>
                <c:pt idx="16" formatCode="0.0%">
                  <c:v>0.11548807785888072</c:v>
                </c:pt>
                <c:pt idx="17" formatCode="0.0%">
                  <c:v>0.12513479318734788</c:v>
                </c:pt>
                <c:pt idx="18" formatCode="0.0%">
                  <c:v>0.13489051094890511</c:v>
                </c:pt>
                <c:pt idx="19" formatCode="0.0%">
                  <c:v>0.14475523114355227</c:v>
                </c:pt>
                <c:pt idx="20" formatCode="0.0%">
                  <c:v>0.15472895377128956</c:v>
                </c:pt>
                <c:pt idx="21" formatCode="0.0%">
                  <c:v>0.16481167883211686</c:v>
                </c:pt>
                <c:pt idx="22" formatCode="0.0%">
                  <c:v>0.17500340632603403</c:v>
                </c:pt>
                <c:pt idx="23" formatCode="0.0%">
                  <c:v>0.18530413625304132</c:v>
                </c:pt>
                <c:pt idx="24" formatCode="0.0%">
                  <c:v>0.19571386861313872</c:v>
                </c:pt>
                <c:pt idx="25" formatCode="0.0%">
                  <c:v>0.20623260340632613</c:v>
                </c:pt>
                <c:pt idx="26" formatCode="0.0%">
                  <c:v>0.21686034063260345</c:v>
                </c:pt>
                <c:pt idx="27" formatCode="0.0%">
                  <c:v>0.22759708029197084</c:v>
                </c:pt>
                <c:pt idx="28" formatCode="0.0%">
                  <c:v>0.23844282238442835</c:v>
                </c:pt>
                <c:pt idx="29" formatCode="0.0%">
                  <c:v>0.24939756690997578</c:v>
                </c:pt>
                <c:pt idx="30" formatCode="0.0%">
                  <c:v>0.26046131386861326</c:v>
                </c:pt>
                <c:pt idx="31" formatCode="0.0%">
                  <c:v>0.27163406326034079</c:v>
                </c:pt>
                <c:pt idx="32" formatCode="0.0%">
                  <c:v>0.28291581508515834</c:v>
                </c:pt>
                <c:pt idx="33" formatCode="0.0%">
                  <c:v>0.29430656934306587</c:v>
                </c:pt>
              </c:numCache>
            </c:numRef>
          </c:val>
          <c:extLst>
            <c:ext xmlns:c16="http://schemas.microsoft.com/office/drawing/2014/chart" uri="{C3380CC4-5D6E-409C-BE32-E72D297353CC}">
              <c16:uniqueId val="{00000004-601F-46C4-8703-4D25B4276DFE}"/>
            </c:ext>
          </c:extLst>
        </c:ser>
        <c:ser>
          <c:idx val="12"/>
          <c:order val="4"/>
          <c:tx>
            <c:strRef>
              <c:f>'Stress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calculations'!$FF$7:$FF$40</c:f>
              <c:numCache>
                <c:formatCode>0.00%</c:formatCode>
                <c:ptCount val="34"/>
                <c:pt idx="0">
                  <c:v>0</c:v>
                </c:pt>
                <c:pt idx="1">
                  <c:v>0</c:v>
                </c:pt>
                <c:pt idx="2">
                  <c:v>0</c:v>
                </c:pt>
                <c:pt idx="3">
                  <c:v>0</c:v>
                </c:pt>
                <c:pt idx="4" formatCode="0.0%">
                  <c:v>3.50251419302519E-3</c:v>
                </c:pt>
                <c:pt idx="5" formatCode="0.0%">
                  <c:v>7.0514193025141784E-3</c:v>
                </c:pt>
                <c:pt idx="6" formatCode="0.0%">
                  <c:v>1.0646715328467187E-2</c:v>
                </c:pt>
                <c:pt idx="7" formatCode="0.0%">
                  <c:v>1.4288402270883991E-2</c:v>
                </c:pt>
                <c:pt idx="8" formatCode="0.0%">
                  <c:v>1.797648012976482E-2</c:v>
                </c:pt>
                <c:pt idx="9" formatCode="0.0%">
                  <c:v>2.1710948905109443E-2</c:v>
                </c:pt>
                <c:pt idx="10" formatCode="0.0%">
                  <c:v>2.5491808596918089E-2</c:v>
                </c:pt>
                <c:pt idx="11" formatCode="0.0%">
                  <c:v>2.9319059205190637E-2</c:v>
                </c:pt>
                <c:pt idx="12" formatCode="0.0%">
                  <c:v>3.3192700729926986E-2</c:v>
                </c:pt>
                <c:pt idx="13" formatCode="0.0%">
                  <c:v>3.7112733171127371E-2</c:v>
                </c:pt>
                <c:pt idx="14" formatCode="0.0%">
                  <c:v>4.1079156528791544E-2</c:v>
                </c:pt>
                <c:pt idx="15" formatCode="0.0%">
                  <c:v>4.509197080291974E-2</c:v>
                </c:pt>
                <c:pt idx="16" formatCode="0.0%">
                  <c:v>4.9151175993511716E-2</c:v>
                </c:pt>
                <c:pt idx="17" formatCode="0.0%">
                  <c:v>5.3256772100567715E-2</c:v>
                </c:pt>
                <c:pt idx="18" formatCode="0.0%">
                  <c:v>5.7408759124087522E-2</c:v>
                </c:pt>
                <c:pt idx="19" formatCode="0.0%">
                  <c:v>6.1607137064071359E-2</c:v>
                </c:pt>
                <c:pt idx="20" formatCode="0.0%">
                  <c:v>6.5851905920519108E-2</c:v>
                </c:pt>
                <c:pt idx="21" formatCode="0.0%">
                  <c:v>7.0143065693430651E-2</c:v>
                </c:pt>
                <c:pt idx="22" formatCode="0.0%">
                  <c:v>7.4480616382806189E-2</c:v>
                </c:pt>
                <c:pt idx="23" formatCode="0.0%">
                  <c:v>7.8864557988645514E-2</c:v>
                </c:pt>
                <c:pt idx="24" formatCode="0.0%">
                  <c:v>8.3294890510948905E-2</c:v>
                </c:pt>
                <c:pt idx="25" formatCode="0.0%">
                  <c:v>8.7771613949716207E-2</c:v>
                </c:pt>
                <c:pt idx="26" formatCode="0.0%">
                  <c:v>9.2294728304947296E-2</c:v>
                </c:pt>
                <c:pt idx="27" formatCode="0.0%">
                  <c:v>9.6864233576642381E-2</c:v>
                </c:pt>
                <c:pt idx="28" formatCode="0.0%">
                  <c:v>0.10148012976480141</c:v>
                </c:pt>
                <c:pt idx="29" formatCode="0.0%">
                  <c:v>0.10614241686942417</c:v>
                </c:pt>
                <c:pt idx="30" formatCode="0.0%">
                  <c:v>0.11085109489051102</c:v>
                </c:pt>
                <c:pt idx="31" formatCode="0.0%">
                  <c:v>0.11560616382806166</c:v>
                </c:pt>
                <c:pt idx="32" formatCode="0.0%">
                  <c:v>0.12040762368207633</c:v>
                </c:pt>
                <c:pt idx="33" formatCode="0.0%">
                  <c:v>0.12525547445255486</c:v>
                </c:pt>
              </c:numCache>
            </c:numRef>
          </c:val>
          <c:extLst>
            <c:ext xmlns:c16="http://schemas.microsoft.com/office/drawing/2014/chart" uri="{C3380CC4-5D6E-409C-BE32-E72D297353CC}">
              <c16:uniqueId val="{00000006-601F-46C4-8703-4D25B4276DFE}"/>
            </c:ext>
          </c:extLst>
        </c:ser>
        <c:ser>
          <c:idx val="7"/>
          <c:order val="5"/>
          <c:tx>
            <c:strRef>
              <c:f>'Stress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calculations'!$FG$7:$FG$40</c:f>
              <c:numCache>
                <c:formatCode>0.00%</c:formatCode>
                <c:ptCount val="34"/>
                <c:pt idx="0">
                  <c:v>0</c:v>
                </c:pt>
                <c:pt idx="1">
                  <c:v>0</c:v>
                </c:pt>
                <c:pt idx="2">
                  <c:v>0</c:v>
                </c:pt>
                <c:pt idx="3">
                  <c:v>0</c:v>
                </c:pt>
                <c:pt idx="4" formatCode="0.0%">
                  <c:v>1.6900243309002421E-3</c:v>
                </c:pt>
                <c:pt idx="5" formatCode="0.0%">
                  <c:v>3.4024330900243294E-3</c:v>
                </c:pt>
                <c:pt idx="6" formatCode="0.0%">
                  <c:v>5.1372262773722597E-3</c:v>
                </c:pt>
                <c:pt idx="7" formatCode="0.0%">
                  <c:v>6.894403892944035E-3</c:v>
                </c:pt>
                <c:pt idx="8" formatCode="0.0%">
                  <c:v>8.6739659367396551E-3</c:v>
                </c:pt>
                <c:pt idx="9" formatCode="0.0%">
                  <c:v>1.0475912408759119E-2</c:v>
                </c:pt>
                <c:pt idx="10" formatCode="0.0%">
                  <c:v>1.2300243309002425E-2</c:v>
                </c:pt>
                <c:pt idx="11" formatCode="0.0%">
                  <c:v>1.4146958637469575E-2</c:v>
                </c:pt>
                <c:pt idx="12" formatCode="0.0%">
                  <c:v>1.6016058394160572E-2</c:v>
                </c:pt>
                <c:pt idx="13" formatCode="0.0%">
                  <c:v>1.7907542579075415E-2</c:v>
                </c:pt>
                <c:pt idx="14" formatCode="0.0%">
                  <c:v>1.9821411192214103E-2</c:v>
                </c:pt>
                <c:pt idx="15" formatCode="0.0%">
                  <c:v>2.1757664233576637E-2</c:v>
                </c:pt>
                <c:pt idx="16" formatCode="0.0%">
                  <c:v>2.3716301703163002E-2</c:v>
                </c:pt>
                <c:pt idx="17" formatCode="0.0%">
                  <c:v>2.5697323600973213E-2</c:v>
                </c:pt>
                <c:pt idx="18" formatCode="0.0%">
                  <c:v>2.770072992700728E-2</c:v>
                </c:pt>
                <c:pt idx="19" formatCode="0.0%">
                  <c:v>2.9726520681265189E-2</c:v>
                </c:pt>
                <c:pt idx="20" formatCode="0.0%">
                  <c:v>3.1774695863746948E-2</c:v>
                </c:pt>
                <c:pt idx="21" formatCode="0.0%">
                  <c:v>3.3845255474452544E-2</c:v>
                </c:pt>
                <c:pt idx="22" formatCode="0.0%">
                  <c:v>3.5938199513381973E-2</c:v>
                </c:pt>
                <c:pt idx="23" formatCode="0.0%">
                  <c:v>3.8053527980535247E-2</c:v>
                </c:pt>
                <c:pt idx="24" formatCode="0.0%">
                  <c:v>4.019124087591238E-2</c:v>
                </c:pt>
                <c:pt idx="25" formatCode="0.0%">
                  <c:v>4.2351338199513359E-2</c:v>
                </c:pt>
                <c:pt idx="26" formatCode="0.0%">
                  <c:v>4.4533819951338184E-2</c:v>
                </c:pt>
                <c:pt idx="27" formatCode="0.0%">
                  <c:v>4.6738686131386833E-2</c:v>
                </c:pt>
                <c:pt idx="28" formatCode="0.0%">
                  <c:v>4.8965936739659342E-2</c:v>
                </c:pt>
                <c:pt idx="29" formatCode="0.0%">
                  <c:v>5.1215571776155683E-2</c:v>
                </c:pt>
                <c:pt idx="30" formatCode="0.0%">
                  <c:v>5.3487591240875883E-2</c:v>
                </c:pt>
                <c:pt idx="31" formatCode="0.0%">
                  <c:v>5.5781995133819921E-2</c:v>
                </c:pt>
                <c:pt idx="32" formatCode="0.0%">
                  <c:v>5.8098783454987812E-2</c:v>
                </c:pt>
                <c:pt idx="33" formatCode="0.0%">
                  <c:v>6.0437956204379528E-2</c:v>
                </c:pt>
              </c:numCache>
            </c:numRef>
          </c:val>
          <c:extLst>
            <c:ext xmlns:c16="http://schemas.microsoft.com/office/drawing/2014/chart" uri="{C3380CC4-5D6E-409C-BE32-E72D297353CC}">
              <c16:uniqueId val="{00000008-601F-46C4-8703-4D25B4276DFE}"/>
            </c:ext>
          </c:extLst>
        </c:ser>
        <c:ser>
          <c:idx val="5"/>
          <c:order val="6"/>
          <c:tx>
            <c:strRef>
              <c:f>'Stress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3.4285714285714401E-3</c:v>
                </c:pt>
                <c:pt idx="14" formatCode="0.0%">
                  <c:v>6.9000000000000242E-3</c:v>
                </c:pt>
                <c:pt idx="15" formatCode="0.0%">
                  <c:v>1.0414285714285753E-2</c:v>
                </c:pt>
                <c:pt idx="16" formatCode="0.0%">
                  <c:v>1.3971428571428619E-2</c:v>
                </c:pt>
                <c:pt idx="17" formatCode="0.0%">
                  <c:v>1.7571428571428627E-2</c:v>
                </c:pt>
                <c:pt idx="18" formatCode="0.0%">
                  <c:v>2.1214285714285661E-2</c:v>
                </c:pt>
                <c:pt idx="19" formatCode="0.0%">
                  <c:v>2.489999999999996E-2</c:v>
                </c:pt>
                <c:pt idx="20" formatCode="0.0%">
                  <c:v>2.8628571428571406E-2</c:v>
                </c:pt>
                <c:pt idx="21" formatCode="0.0%">
                  <c:v>3.2399999999999991E-2</c:v>
                </c:pt>
                <c:pt idx="22" formatCode="0.0%">
                  <c:v>3.6214285714285713E-2</c:v>
                </c:pt>
                <c:pt idx="23" formatCode="0.0%">
                  <c:v>4.007142857142857E-2</c:v>
                </c:pt>
                <c:pt idx="24" formatCode="0.0%">
                  <c:v>4.3971428571428592E-2</c:v>
                </c:pt>
                <c:pt idx="25" formatCode="0.0%">
                  <c:v>4.791428571428575E-2</c:v>
                </c:pt>
                <c:pt idx="26" formatCode="0.0%">
                  <c:v>5.1900000000000057E-2</c:v>
                </c:pt>
                <c:pt idx="27" formatCode="0.0%">
                  <c:v>5.592857142857148E-2</c:v>
                </c:pt>
                <c:pt idx="28" formatCode="0.0%">
                  <c:v>5.9999999999999949E-2</c:v>
                </c:pt>
                <c:pt idx="29" formatCode="0.0%">
                  <c:v>6.4114285714285651E-2</c:v>
                </c:pt>
                <c:pt idx="30" formatCode="0.0%">
                  <c:v>6.8271428571428538E-2</c:v>
                </c:pt>
                <c:pt idx="31" formatCode="0.0%">
                  <c:v>7.2471428571428562E-2</c:v>
                </c:pt>
                <c:pt idx="32" formatCode="0.0%">
                  <c:v>7.6714285714285721E-2</c:v>
                </c:pt>
                <c:pt idx="33" formatCode="0.0%">
                  <c:v>8.1000000000000003E-2</c:v>
                </c:pt>
              </c:numCache>
            </c:numRef>
          </c:val>
          <c:extLst>
            <c:ext xmlns:c16="http://schemas.microsoft.com/office/drawing/2014/chart" uri="{C3380CC4-5D6E-409C-BE32-E72D297353CC}">
              <c16:uniqueId val="{0000000A-601F-46C4-8703-4D25B4276DFE}"/>
            </c:ext>
          </c:extLst>
        </c:ser>
        <c:ser>
          <c:idx val="9"/>
          <c:order val="7"/>
          <c:tx>
            <c:strRef>
              <c:f>'Stress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8.9423076923081206E-4</c:v>
                </c:pt>
                <c:pt idx="9" formatCode="0.0%">
                  <c:v>1.7999999999999707E-3</c:v>
                </c:pt>
                <c:pt idx="10" formatCode="0.0%">
                  <c:v>2.7173076923077059E-3</c:v>
                </c:pt>
                <c:pt idx="11" formatCode="0.0%">
                  <c:v>3.6461538461539022E-3</c:v>
                </c:pt>
                <c:pt idx="12" formatCode="0.0%">
                  <c:v>4.5865384615384449E-3</c:v>
                </c:pt>
                <c:pt idx="13" formatCode="0.0%">
                  <c:v>5.5384615384615659E-3</c:v>
                </c:pt>
                <c:pt idx="14" formatCode="0.0%">
                  <c:v>6.501923076923031E-3</c:v>
                </c:pt>
                <c:pt idx="15" formatCode="0.0%">
                  <c:v>7.4769230769230763E-3</c:v>
                </c:pt>
                <c:pt idx="16" formatCode="0.0%">
                  <c:v>8.4634615384615811E-3</c:v>
                </c:pt>
                <c:pt idx="17" formatCode="0.0%">
                  <c:v>9.4615384615384258E-3</c:v>
                </c:pt>
                <c:pt idx="18" formatCode="0.0%">
                  <c:v>1.0471153846153856E-2</c:v>
                </c:pt>
                <c:pt idx="19" formatCode="0.0%">
                  <c:v>1.149230769230775E-2</c:v>
                </c:pt>
                <c:pt idx="20" formatCode="0.0%">
                  <c:v>1.2524999999999982E-2</c:v>
                </c:pt>
                <c:pt idx="21" formatCode="0.0%">
                  <c:v>1.35692307692308E-2</c:v>
                </c:pt>
                <c:pt idx="22" formatCode="0.0%">
                  <c:v>1.4624999999999949E-2</c:v>
                </c:pt>
                <c:pt idx="23" formatCode="0.0%">
                  <c:v>1.5692307692307682E-2</c:v>
                </c:pt>
                <c:pt idx="24" formatCode="0.0%">
                  <c:v>1.6771153846153887E-2</c:v>
                </c:pt>
                <c:pt idx="25" formatCode="0.0%">
                  <c:v>1.7861538461538425E-2</c:v>
                </c:pt>
                <c:pt idx="26" formatCode="0.0%">
                  <c:v>1.8963461538461551E-2</c:v>
                </c:pt>
                <c:pt idx="27" formatCode="0.0%">
                  <c:v>2.0076923076923135E-2</c:v>
                </c:pt>
                <c:pt idx="28" formatCode="0.0%">
                  <c:v>2.1201923076923056E-2</c:v>
                </c:pt>
                <c:pt idx="29" formatCode="0.0%">
                  <c:v>2.233846153846156E-2</c:v>
                </c:pt>
                <c:pt idx="30" formatCode="0.0%">
                  <c:v>2.3486538461538402E-2</c:v>
                </c:pt>
                <c:pt idx="31" formatCode="0.0%">
                  <c:v>2.4646153846153838E-2</c:v>
                </c:pt>
                <c:pt idx="32" formatCode="0.0%">
                  <c:v>2.581730769230774E-2</c:v>
                </c:pt>
                <c:pt idx="33" formatCode="0.0%">
                  <c:v>2.6999999999999958E-2</c:v>
                </c:pt>
              </c:numCache>
            </c:numRef>
          </c:val>
          <c:extLst>
            <c:ext xmlns:c16="http://schemas.microsoft.com/office/drawing/2014/chart" uri="{C3380CC4-5D6E-409C-BE32-E72D297353CC}">
              <c16:uniqueId val="{0000000C-601F-46C4-8703-4D25B4276DFE}"/>
            </c:ext>
          </c:extLst>
        </c:ser>
        <c:ser>
          <c:idx val="6"/>
          <c:order val="8"/>
          <c:tx>
            <c:strRef>
              <c:f>'Stress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calculations'!$FJ$7:$FJ$40</c:f>
              <c:numCache>
                <c:formatCode>0.00%</c:formatCode>
                <c:ptCount val="34"/>
                <c:pt idx="0">
                  <c:v>0</c:v>
                </c:pt>
                <c:pt idx="1">
                  <c:v>0</c:v>
                </c:pt>
                <c:pt idx="2">
                  <c:v>0</c:v>
                </c:pt>
                <c:pt idx="3">
                  <c:v>0</c:v>
                </c:pt>
                <c:pt idx="4" formatCode="0.0%">
                  <c:v>0</c:v>
                </c:pt>
                <c:pt idx="5" formatCode="0.0%">
                  <c:v>0</c:v>
                </c:pt>
                <c:pt idx="6" formatCode="0.0%">
                  <c:v>2.5499999999997194E-4</c:v>
                </c:pt>
                <c:pt idx="7" formatCode="0.0%">
                  <c:v>5.1333333333327682E-4</c:v>
                </c:pt>
                <c:pt idx="8" formatCode="0.0%">
                  <c:v>7.7500000000002946E-4</c:v>
                </c:pt>
                <c:pt idx="9" formatCode="0.0%">
                  <c:v>1.040000000000001E-3</c:v>
                </c:pt>
                <c:pt idx="10" formatCode="0.0%">
                  <c:v>1.3083333333333055E-3</c:v>
                </c:pt>
                <c:pt idx="11" formatCode="0.0%">
                  <c:v>1.5799999999999423E-3</c:v>
                </c:pt>
                <c:pt idx="12" formatCode="0.0%">
                  <c:v>1.8550000000000307E-3</c:v>
                </c:pt>
                <c:pt idx="13" formatCode="0.0%">
                  <c:v>2.1333333333333352E-3</c:v>
                </c:pt>
                <c:pt idx="14" formatCode="0.0%">
                  <c:v>2.4149999999999727E-3</c:v>
                </c:pt>
                <c:pt idx="15" formatCode="0.0%">
                  <c:v>2.6999999999999433E-3</c:v>
                </c:pt>
                <c:pt idx="16" formatCode="0.0%">
                  <c:v>2.9883333333333663E-3</c:v>
                </c:pt>
                <c:pt idx="17" formatCode="0.0%">
                  <c:v>3.2800000000000021E-3</c:v>
                </c:pt>
                <c:pt idx="18" formatCode="0.0%">
                  <c:v>3.5749999999999723E-3</c:v>
                </c:pt>
                <c:pt idx="19" formatCode="0.0%">
                  <c:v>3.8733333333332755E-3</c:v>
                </c:pt>
                <c:pt idx="20" formatCode="0.0%">
                  <c:v>4.1750000000000355E-3</c:v>
                </c:pt>
                <c:pt idx="21" formatCode="0.0%">
                  <c:v>4.4800000000000057E-3</c:v>
                </c:pt>
                <c:pt idx="22" formatCode="0.0%">
                  <c:v>4.7883333333333068E-3</c:v>
                </c:pt>
                <c:pt idx="23" formatCode="0.0%">
                  <c:v>5.0999999999999405E-3</c:v>
                </c:pt>
                <c:pt idx="24" formatCode="0.0%">
                  <c:v>5.4150000000000361E-3</c:v>
                </c:pt>
                <c:pt idx="25" formatCode="0.0%">
                  <c:v>5.7333333333333385E-3</c:v>
                </c:pt>
                <c:pt idx="26" formatCode="0.0%">
                  <c:v>6.0549999999999745E-3</c:v>
                </c:pt>
                <c:pt idx="27" formatCode="0.0%">
                  <c:v>6.3799999999999404E-3</c:v>
                </c:pt>
                <c:pt idx="28" formatCode="0.0%">
                  <c:v>6.7083333333333717E-3</c:v>
                </c:pt>
                <c:pt idx="29" formatCode="0.0%">
                  <c:v>7.0400000000000046E-3</c:v>
                </c:pt>
                <c:pt idx="30" formatCode="0.0%">
                  <c:v>7.3749999999999736E-3</c:v>
                </c:pt>
                <c:pt idx="31" formatCode="0.0%">
                  <c:v>7.7133333333332752E-3</c:v>
                </c:pt>
                <c:pt idx="32" formatCode="0.0%">
                  <c:v>8.0550000000000413E-3</c:v>
                </c:pt>
                <c:pt idx="33" formatCode="0.0%">
                  <c:v>8.4000000000000064E-3</c:v>
                </c:pt>
              </c:numCache>
            </c:numRef>
          </c:val>
          <c:extLst>
            <c:ext xmlns:c16="http://schemas.microsoft.com/office/drawing/2014/chart" uri="{C3380CC4-5D6E-409C-BE32-E72D297353CC}">
              <c16:uniqueId val="{0000000D-601F-46C4-8703-4D25B4276DFE}"/>
            </c:ext>
          </c:extLst>
        </c:ser>
        <c:ser>
          <c:idx val="3"/>
          <c:order val="9"/>
          <c:tx>
            <c:strRef>
              <c:f>'Stress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calculations'!$FK$7:$FK$40</c:f>
              <c:numCache>
                <c:formatCode>0.00%</c:formatCode>
                <c:ptCount val="34"/>
                <c:pt idx="0">
                  <c:v>0</c:v>
                </c:pt>
                <c:pt idx="1">
                  <c:v>0</c:v>
                </c:pt>
                <c:pt idx="2">
                  <c:v>0</c:v>
                </c:pt>
                <c:pt idx="3">
                  <c:v>0</c:v>
                </c:pt>
                <c:pt idx="4" formatCode="0.0%">
                  <c:v>9.6639999999996061E-4</c:v>
                </c:pt>
                <c:pt idx="5" formatCode="0.0%">
                  <c:v>1.9456000000000334E-3</c:v>
                </c:pt>
                <c:pt idx="6" formatCode="0.0%">
                  <c:v>2.9375999999999938E-3</c:v>
                </c:pt>
                <c:pt idx="7" formatCode="0.0%">
                  <c:v>3.9423999999999536E-3</c:v>
                </c:pt>
                <c:pt idx="8" formatCode="0.0%">
                  <c:v>4.9600000000000278E-3</c:v>
                </c:pt>
                <c:pt idx="9" formatCode="0.0%">
                  <c:v>5.9903999999999869E-3</c:v>
                </c:pt>
                <c:pt idx="10" formatCode="0.0%">
                  <c:v>7.0335999999999455E-3</c:v>
                </c:pt>
                <c:pt idx="11" formatCode="0.0%">
                  <c:v>8.089600000000018E-3</c:v>
                </c:pt>
                <c:pt idx="12" formatCode="0.0%">
                  <c:v>9.158399999999978E-3</c:v>
                </c:pt>
                <c:pt idx="13" formatCode="0.0%">
                  <c:v>1.0240000000000056E-2</c:v>
                </c:pt>
                <c:pt idx="14" formatCode="0.0%">
                  <c:v>1.1334400000000017E-2</c:v>
                </c:pt>
                <c:pt idx="15" formatCode="0.0%">
                  <c:v>1.2441599999999976E-2</c:v>
                </c:pt>
                <c:pt idx="16" formatCode="0.0%">
                  <c:v>1.356160000000005E-2</c:v>
                </c:pt>
                <c:pt idx="17" formatCode="0.0%">
                  <c:v>1.4694400000000005E-2</c:v>
                </c:pt>
                <c:pt idx="18" formatCode="0.0%">
                  <c:v>1.5839999999999962E-2</c:v>
                </c:pt>
                <c:pt idx="19" formatCode="0.0%">
                  <c:v>1.6998400000000045E-2</c:v>
                </c:pt>
                <c:pt idx="20" formatCode="0.0%">
                  <c:v>1.8169600000000004E-2</c:v>
                </c:pt>
                <c:pt idx="21" formatCode="0.0%">
                  <c:v>1.9353599999999964E-2</c:v>
                </c:pt>
                <c:pt idx="22" formatCode="0.0%">
                  <c:v>2.0550400000000038E-2</c:v>
                </c:pt>
                <c:pt idx="23" formatCode="0.0%">
                  <c:v>2.1759999999999988E-2</c:v>
                </c:pt>
                <c:pt idx="24" formatCode="0.0%">
                  <c:v>2.2982399999999948E-2</c:v>
                </c:pt>
                <c:pt idx="25" formatCode="0.0%">
                  <c:v>2.4217600000000034E-2</c:v>
                </c:pt>
                <c:pt idx="26" formatCode="0.0%">
                  <c:v>2.5465599999999991E-2</c:v>
                </c:pt>
                <c:pt idx="27" formatCode="0.0%">
                  <c:v>2.6726399999999938E-2</c:v>
                </c:pt>
                <c:pt idx="28" formatCode="0.0%">
                  <c:v>2.8000000000000028E-2</c:v>
                </c:pt>
                <c:pt idx="29" formatCode="0.0%">
                  <c:v>2.9286399999999973E-2</c:v>
                </c:pt>
                <c:pt idx="30" formatCode="0.0%">
                  <c:v>3.0585599999999932E-2</c:v>
                </c:pt>
                <c:pt idx="31" formatCode="0.0%">
                  <c:v>3.1897600000000019E-2</c:v>
                </c:pt>
                <c:pt idx="32" formatCode="0.0%">
                  <c:v>3.3222399999999978E-2</c:v>
                </c:pt>
                <c:pt idx="33" formatCode="0.0%">
                  <c:v>3.4559999999999924E-2</c:v>
                </c:pt>
              </c:numCache>
            </c:numRef>
          </c:val>
          <c:extLst>
            <c:ext xmlns:c16="http://schemas.microsoft.com/office/drawing/2014/chart" uri="{C3380CC4-5D6E-409C-BE32-E72D297353CC}">
              <c16:uniqueId val="{0000000F-601F-46C4-8703-4D25B4276DFE}"/>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601F-46C4-8703-4D25B4276DFE}"/>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601F-46C4-8703-4D25B4276DFE}"/>
              </c:ext>
            </c:extLst>
          </c:dPt>
          <c:dLbls>
            <c:dLbl>
              <c:idx val="3"/>
              <c:layout>
                <c:manualLayout>
                  <c:x val="-3.8336574324970514E-2"/>
                  <c:y val="0.33127695994522421"/>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136446810545443"/>
                      <c:h val="2.9978363574118455E-2"/>
                    </c:manualLayout>
                  </c15:layout>
                </c:ext>
                <c:ext xmlns:c16="http://schemas.microsoft.com/office/drawing/2014/chart" uri="{C3380CC4-5D6E-409C-BE32-E72D297353CC}">
                  <c16:uniqueId val="{00000011-601F-46C4-8703-4D25B4276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12-601F-46C4-8703-4D25B4276DFE}"/>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13-601F-46C4-8703-4D25B4276DFE}"/>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cap="none" spc="20" baseline="0">
                <a:solidFill>
                  <a:schemeClr val="dk1">
                    <a:lumMod val="50000"/>
                    <a:lumOff val="50000"/>
                  </a:schemeClr>
                </a:solidFill>
                <a:latin typeface="+mn-lt"/>
                <a:ea typeface="+mn-ea"/>
                <a:cs typeface="+mn-cs"/>
              </a:defRPr>
            </a:pPr>
            <a:r>
              <a:rPr lang="en-GB"/>
              <a:t>Cumulative carbon emissions</a:t>
            </a:r>
          </a:p>
        </c:rich>
      </c:tx>
      <c:overlay val="0"/>
      <c:spPr>
        <a:noFill/>
        <a:ln>
          <a:noFill/>
        </a:ln>
        <a:effectLst/>
      </c:spPr>
      <c:txPr>
        <a:bodyPr rot="0" spcFirstLastPara="1" vertOverflow="ellipsis" vert="horz" wrap="square" anchor="ctr" anchorCtr="1"/>
        <a:lstStyle/>
        <a:p>
          <a:pPr>
            <a:defRPr sz="192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tx>
            <c:strRef>
              <c:f>'Stress calculations'!$JB$7</c:f>
              <c:strCache>
                <c:ptCount val="1"/>
                <c:pt idx="0">
                  <c:v>Cumulative emissions estimated for selected policy mix </c:v>
                </c:pt>
              </c:strCache>
            </c:strRef>
          </c:tx>
          <c:spPr>
            <a:ln w="31750" cap="rnd" cmpd="sng" algn="ctr">
              <a:solidFill>
                <a:schemeClr val="accent1"/>
              </a:solidFill>
              <a:round/>
            </a:ln>
            <a:effectLst/>
          </c:spPr>
          <c:marker>
            <c:symbol val="none"/>
          </c:marker>
          <c:cat>
            <c:numRef>
              <c:f>'Stress calculations'!$IZ$10:$IZ$40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'Stress calculations'!$JB$10:$JB$40</c:f>
              <c:numCache>
                <c:formatCode>0.0</c:formatCode>
                <c:ptCount val="31"/>
                <c:pt idx="0">
                  <c:v>1</c:v>
                </c:pt>
                <c:pt idx="1">
                  <c:v>1.9865833532851738</c:v>
                </c:pt>
                <c:pt idx="2">
                  <c:v>2.9594794083247331</c:v>
                </c:pt>
                <c:pt idx="3">
                  <c:v>3.9118885958220329</c:v>
                </c:pt>
                <c:pt idx="4">
                  <c:v>4.8428477135353258</c:v>
                </c:pt>
                <c:pt idx="5">
                  <c:v>5.7504404350000593</c:v>
                </c:pt>
                <c:pt idx="6">
                  <c:v>6.6336677548730041</c:v>
                </c:pt>
                <c:pt idx="7">
                  <c:v>7.4915188391346845</c:v>
                </c:pt>
                <c:pt idx="8">
                  <c:v>8.3229710250893749</c:v>
                </c:pt>
                <c:pt idx="9">
                  <c:v>9.1269898213651093</c:v>
                </c:pt>
                <c:pt idx="10">
                  <c:v>9.8989198853572749</c:v>
                </c:pt>
                <c:pt idx="11">
                  <c:v>10.637657955559453</c:v>
                </c:pt>
                <c:pt idx="12">
                  <c:v>11.342088941788978</c:v>
                </c:pt>
                <c:pt idx="13">
                  <c:v>12.011085925186936</c:v>
                </c:pt>
                <c:pt idx="14">
                  <c:v>12.643510158218167</c:v>
                </c:pt>
                <c:pt idx="15">
                  <c:v>13.238211064671262</c:v>
                </c:pt>
                <c:pt idx="16">
                  <c:v>13.794026239658564</c:v>
                </c:pt>
                <c:pt idx="17">
                  <c:v>14.309781449616169</c:v>
                </c:pt>
                <c:pt idx="18">
                  <c:v>14.790174273170805</c:v>
                </c:pt>
                <c:pt idx="19">
                  <c:v>15.234076862749728</c:v>
                </c:pt>
                <c:pt idx="20">
                  <c:v>15.640349542103943</c:v>
                </c:pt>
                <c:pt idx="21">
                  <c:v>16.019708201784841</c:v>
                </c:pt>
                <c:pt idx="22">
                  <c:v>16.373011231087034</c:v>
                </c:pt>
                <c:pt idx="23">
                  <c:v>16.699926282463032</c:v>
                </c:pt>
                <c:pt idx="24">
                  <c:v>17.000121008365351</c:v>
                </c:pt>
                <c:pt idx="25">
                  <c:v>17.273263061246496</c:v>
                </c:pt>
                <c:pt idx="26">
                  <c:v>17.519020093558979</c:v>
                </c:pt>
                <c:pt idx="27">
                  <c:v>17.737059757755308</c:v>
                </c:pt>
                <c:pt idx="28">
                  <c:v>17.927049706287988</c:v>
                </c:pt>
                <c:pt idx="29">
                  <c:v>18.088657591609543</c:v>
                </c:pt>
              </c:numCache>
            </c:numRef>
          </c:val>
          <c:smooth val="0"/>
          <c:extLst>
            <c:ext xmlns:c16="http://schemas.microsoft.com/office/drawing/2014/chart" uri="{C3380CC4-5D6E-409C-BE32-E72D297353CC}">
              <c16:uniqueId val="{00000000-9D11-411C-8405-3A5B015B6F28}"/>
            </c:ext>
          </c:extLst>
        </c:ser>
        <c:ser>
          <c:idx val="1"/>
          <c:order val="1"/>
          <c:tx>
            <c:strRef>
              <c:f>'Stress calculations'!$JD$7</c:f>
              <c:strCache>
                <c:ptCount val="1"/>
                <c:pt idx="0">
                  <c:v>Cumulative emissions based on 2020 levels with no improvement (do nothing scenario)</c:v>
                </c:pt>
              </c:strCache>
            </c:strRef>
          </c:tx>
          <c:spPr>
            <a:ln w="22225" cap="rnd" cmpd="sng" algn="ctr">
              <a:solidFill>
                <a:schemeClr val="accent2"/>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9D11-411C-8405-3A5B015B6F28}"/>
                </c:ext>
              </c:extLst>
            </c:dLbl>
            <c:dLbl>
              <c:idx val="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11-411C-8405-3A5B015B6F28}"/>
                </c:ext>
              </c:extLst>
            </c:dLbl>
            <c:dLbl>
              <c:idx val="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11-411C-8405-3A5B015B6F28}"/>
                </c:ext>
              </c:extLst>
            </c:dLbl>
            <c:dLbl>
              <c:idx val="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11-411C-8405-3A5B015B6F28}"/>
                </c:ext>
              </c:extLst>
            </c:dLbl>
            <c:dLbl>
              <c:idx val="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11-411C-8405-3A5B015B6F28}"/>
                </c:ext>
              </c:extLst>
            </c:dLbl>
            <c:dLbl>
              <c:idx val="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11-411C-8405-3A5B015B6F28}"/>
                </c:ext>
              </c:extLst>
            </c:dLbl>
            <c:dLbl>
              <c:idx val="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11-411C-8405-3A5B015B6F28}"/>
                </c:ext>
              </c:extLst>
            </c:dLbl>
            <c:dLbl>
              <c:idx val="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11-411C-8405-3A5B015B6F28}"/>
                </c:ext>
              </c:extLst>
            </c:dLbl>
            <c:dLbl>
              <c:idx val="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11-411C-8405-3A5B015B6F28}"/>
                </c:ext>
              </c:extLst>
            </c:dLbl>
            <c:dLbl>
              <c:idx val="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11-411C-8405-3A5B015B6F28}"/>
                </c:ext>
              </c:extLst>
            </c:dLbl>
            <c:dLbl>
              <c:idx val="1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11-411C-8405-3A5B015B6F28}"/>
                </c:ext>
              </c:extLst>
            </c:dLbl>
            <c:dLbl>
              <c:idx val="1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11-411C-8405-3A5B015B6F28}"/>
                </c:ext>
              </c:extLst>
            </c:dLbl>
            <c:dLbl>
              <c:idx val="1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11-411C-8405-3A5B015B6F28}"/>
                </c:ext>
              </c:extLst>
            </c:dLbl>
            <c:dLbl>
              <c:idx val="1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11-411C-8405-3A5B015B6F28}"/>
                </c:ext>
              </c:extLst>
            </c:dLbl>
            <c:dLbl>
              <c:idx val="1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D11-411C-8405-3A5B015B6F28}"/>
                </c:ext>
              </c:extLst>
            </c:dLbl>
            <c:dLbl>
              <c:idx val="1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D11-411C-8405-3A5B015B6F28}"/>
                </c:ext>
              </c:extLst>
            </c:dLbl>
            <c:dLbl>
              <c:idx val="1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D11-411C-8405-3A5B015B6F28}"/>
                </c:ext>
              </c:extLst>
            </c:dLbl>
            <c:dLbl>
              <c:idx val="1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D11-411C-8405-3A5B015B6F28}"/>
                </c:ext>
              </c:extLst>
            </c:dLbl>
            <c:dLbl>
              <c:idx val="1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D11-411C-8405-3A5B015B6F28}"/>
                </c:ext>
              </c:extLst>
            </c:dLbl>
            <c:dLbl>
              <c:idx val="1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D11-411C-8405-3A5B015B6F28}"/>
                </c:ext>
              </c:extLst>
            </c:dLbl>
            <c:dLbl>
              <c:idx val="2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D11-411C-8405-3A5B015B6F28}"/>
                </c:ext>
              </c:extLst>
            </c:dLbl>
            <c:dLbl>
              <c:idx val="2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D11-411C-8405-3A5B015B6F28}"/>
                </c:ext>
              </c:extLst>
            </c:dLbl>
            <c:dLbl>
              <c:idx val="2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D11-411C-8405-3A5B015B6F28}"/>
                </c:ext>
              </c:extLst>
            </c:dLbl>
            <c:dLbl>
              <c:idx val="2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D11-411C-8405-3A5B015B6F28}"/>
                </c:ext>
              </c:extLst>
            </c:dLbl>
            <c:dLbl>
              <c:idx val="2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D11-411C-8405-3A5B015B6F28}"/>
                </c:ext>
              </c:extLst>
            </c:dLbl>
            <c:dLbl>
              <c:idx val="2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D11-411C-8405-3A5B015B6F28}"/>
                </c:ext>
              </c:extLst>
            </c:dLbl>
            <c:dLbl>
              <c:idx val="2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D11-411C-8405-3A5B015B6F28}"/>
                </c:ext>
              </c:extLst>
            </c:dLbl>
            <c:dLbl>
              <c:idx val="2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D11-411C-8405-3A5B015B6F28}"/>
                </c:ext>
              </c:extLst>
            </c:dLbl>
            <c:dLbl>
              <c:idx val="2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D11-411C-8405-3A5B015B6F28}"/>
                </c:ext>
              </c:extLst>
            </c:dLbl>
            <c:dLbl>
              <c:idx val="2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D11-411C-8405-3A5B015B6F28}"/>
                </c:ext>
              </c:extLst>
            </c:dLbl>
            <c:dLbl>
              <c:idx val="3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D11-411C-8405-3A5B015B6F28}"/>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dk1">
                          <a:lumMod val="35000"/>
                          <a:lumOff val="65000"/>
                        </a:schemeClr>
                      </a:solidFill>
                    </a:ln>
                    <a:effectLst/>
                  </c:spPr>
                </c15:leaderLines>
              </c:ext>
            </c:extLst>
          </c:dLbls>
          <c:cat>
            <c:numRef>
              <c:f>'Stress calculations'!$IZ$10:$IZ$40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'Stress calculations'!$JD$10:$JD$40</c:f>
              <c:numCache>
                <c:formatCode>0.0</c:formatCode>
                <c:ptCount val="31"/>
                <c:pt idx="0">
                  <c:v>1</c:v>
                </c:pt>
                <c:pt idx="1">
                  <c:v>2.0070175438596491</c:v>
                </c:pt>
                <c:pt idx="2">
                  <c:v>3.0210526315789474</c:v>
                </c:pt>
                <c:pt idx="3">
                  <c:v>4.0421052631578949</c:v>
                </c:pt>
                <c:pt idx="4">
                  <c:v>5.0701754385964914</c:v>
                </c:pt>
                <c:pt idx="5">
                  <c:v>6.1052631578947372</c:v>
                </c:pt>
                <c:pt idx="6">
                  <c:v>7.147368421052632</c:v>
                </c:pt>
                <c:pt idx="7">
                  <c:v>8.196491228070176</c:v>
                </c:pt>
                <c:pt idx="8">
                  <c:v>9.2526315789473692</c:v>
                </c:pt>
                <c:pt idx="9">
                  <c:v>10.315789473684212</c:v>
                </c:pt>
                <c:pt idx="10">
                  <c:v>11.385964912280702</c:v>
                </c:pt>
                <c:pt idx="11">
                  <c:v>12.463157894736842</c:v>
                </c:pt>
                <c:pt idx="12">
                  <c:v>13.547368421052632</c:v>
                </c:pt>
                <c:pt idx="13">
                  <c:v>14.638596491228071</c:v>
                </c:pt>
                <c:pt idx="14">
                  <c:v>15.736842105263158</c:v>
                </c:pt>
                <c:pt idx="15">
                  <c:v>16.842105263157894</c:v>
                </c:pt>
                <c:pt idx="16">
                  <c:v>17.95438596491228</c:v>
                </c:pt>
                <c:pt idx="17">
                  <c:v>19.073684210526313</c:v>
                </c:pt>
                <c:pt idx="18">
                  <c:v>20.2</c:v>
                </c:pt>
                <c:pt idx="19">
                  <c:v>21.333333333333332</c:v>
                </c:pt>
                <c:pt idx="20">
                  <c:v>22.473684210526315</c:v>
                </c:pt>
                <c:pt idx="21">
                  <c:v>23.621052631578944</c:v>
                </c:pt>
                <c:pt idx="22">
                  <c:v>24.775438596491227</c:v>
                </c:pt>
                <c:pt idx="23">
                  <c:v>25.936842105263157</c:v>
                </c:pt>
                <c:pt idx="24">
                  <c:v>27.105263157894733</c:v>
                </c:pt>
                <c:pt idx="25">
                  <c:v>28.280701754385962</c:v>
                </c:pt>
                <c:pt idx="26">
                  <c:v>29.463157894736842</c:v>
                </c:pt>
                <c:pt idx="27">
                  <c:v>30.652631578947368</c:v>
                </c:pt>
                <c:pt idx="28">
                  <c:v>31.849122807017544</c:v>
                </c:pt>
                <c:pt idx="29">
                  <c:v>33.05263157894737</c:v>
                </c:pt>
              </c:numCache>
            </c:numRef>
          </c:val>
          <c:smooth val="0"/>
          <c:extLst>
            <c:ext xmlns:c16="http://schemas.microsoft.com/office/drawing/2014/chart" uri="{C3380CC4-5D6E-409C-BE32-E72D297353CC}">
              <c16:uniqueId val="{00000020-9D11-411C-8405-3A5B015B6F28}"/>
            </c:ext>
          </c:extLst>
        </c:ser>
        <c:ser>
          <c:idx val="2"/>
          <c:order val="2"/>
          <c:tx>
            <c:strRef>
              <c:f>'Stress calculations'!$JF$7</c:f>
              <c:strCache>
                <c:ptCount val="1"/>
                <c:pt idx="0">
                  <c:v>Cumulative emissions target to remain within 1.5 degrees celcius temperature rise</c:v>
                </c:pt>
              </c:strCache>
            </c:strRef>
          </c:tx>
          <c:spPr>
            <a:ln w="28575" cap="rnd" cmpd="sng" algn="ctr">
              <a:solidFill>
                <a:schemeClr val="accent6"/>
              </a:solidFill>
              <a:prstDash val="dash"/>
              <a:round/>
            </a:ln>
            <a:effectLst/>
          </c:spPr>
          <c:marker>
            <c:symbol val="none"/>
          </c:marker>
          <c:val>
            <c:numRef>
              <c:f>'Stress calculations'!$JG$10:$JG$40</c:f>
              <c:numCache>
                <c:formatCode>0.0</c:formatCode>
                <c:ptCount val="31"/>
                <c:pt idx="0">
                  <c:v>1</c:v>
                </c:pt>
                <c:pt idx="1">
                  <c:v>1.9473684210526316</c:v>
                </c:pt>
                <c:pt idx="2">
                  <c:v>2.8421052631578947</c:v>
                </c:pt>
                <c:pt idx="3">
                  <c:v>3.6842105263157894</c:v>
                </c:pt>
                <c:pt idx="4">
                  <c:v>4.473684210526315</c:v>
                </c:pt>
                <c:pt idx="5">
                  <c:v>5.2105263157894735</c:v>
                </c:pt>
                <c:pt idx="6">
                  <c:v>5.8947368421052619</c:v>
                </c:pt>
                <c:pt idx="7">
                  <c:v>6.5263157894736832</c:v>
                </c:pt>
                <c:pt idx="8">
                  <c:v>7.1052631578947354</c:v>
                </c:pt>
                <c:pt idx="9">
                  <c:v>7.6315789473684195</c:v>
                </c:pt>
                <c:pt idx="10">
                  <c:v>8.1052631578947345</c:v>
                </c:pt>
                <c:pt idx="11">
                  <c:v>8.5605263157894704</c:v>
                </c:pt>
                <c:pt idx="12">
                  <c:v>8.9973684210526272</c:v>
                </c:pt>
                <c:pt idx="13">
                  <c:v>9.4157894736842049</c:v>
                </c:pt>
                <c:pt idx="14">
                  <c:v>9.8157894736842053</c:v>
                </c:pt>
                <c:pt idx="15">
                  <c:v>10.197368421052625</c:v>
                </c:pt>
                <c:pt idx="16">
                  <c:v>10.560526315789467</c:v>
                </c:pt>
                <c:pt idx="17">
                  <c:v>10.905263157894732</c:v>
                </c:pt>
                <c:pt idx="18">
                  <c:v>11.231578947368416</c:v>
                </c:pt>
                <c:pt idx="19">
                  <c:v>11.539473684210522</c:v>
                </c:pt>
                <c:pt idx="20">
                  <c:v>11.828947368421048</c:v>
                </c:pt>
                <c:pt idx="21">
                  <c:v>12.099999999999996</c:v>
                </c:pt>
                <c:pt idx="22">
                  <c:v>12.352631578947365</c:v>
                </c:pt>
                <c:pt idx="23">
                  <c:v>12.586842105263154</c:v>
                </c:pt>
                <c:pt idx="24">
                  <c:v>12.802631578947365</c:v>
                </c:pt>
                <c:pt idx="25">
                  <c:v>12.999999999999996</c:v>
                </c:pt>
                <c:pt idx="26">
                  <c:v>13.178947368421049</c:v>
                </c:pt>
                <c:pt idx="27">
                  <c:v>13.339473684210523</c:v>
                </c:pt>
                <c:pt idx="28">
                  <c:v>13.481578947368417</c:v>
                </c:pt>
                <c:pt idx="29">
                  <c:v>13.605263157894733</c:v>
                </c:pt>
              </c:numCache>
            </c:numRef>
          </c:val>
          <c:smooth val="0"/>
          <c:extLst>
            <c:ext xmlns:c16="http://schemas.microsoft.com/office/drawing/2014/chart" uri="{C3380CC4-5D6E-409C-BE32-E72D297353CC}">
              <c16:uniqueId val="{00000021-9D11-411C-8405-3A5B015B6F28}"/>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22927664"/>
        <c:axId val="622923728"/>
      </c:lineChart>
      <c:catAx>
        <c:axId val="622927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3728"/>
        <c:crosses val="autoZero"/>
        <c:auto val="1"/>
        <c:lblAlgn val="ctr"/>
        <c:lblOffset val="100"/>
        <c:noMultiLvlLbl val="0"/>
      </c:catAx>
      <c:valAx>
        <c:axId val="622923728"/>
        <c:scaling>
          <c:orientation val="minMax"/>
        </c:scaling>
        <c:delete val="0"/>
        <c:axPos val="l"/>
        <c:title>
          <c:tx>
            <c:rich>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r>
                  <a:rPr lang="en-US"/>
                  <a:t>Cumulative carbon emissions: Index 1=2020 </a:t>
                </a:r>
              </a:p>
            </c:rich>
          </c:tx>
          <c:overlay val="0"/>
          <c:spPr>
            <a:noFill/>
            <a:ln>
              <a:noFill/>
            </a:ln>
            <a:effectLst/>
          </c:spPr>
          <c:txPr>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766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'Stress calculations'!$FA$122</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calculations'!$FA$123:$FA$156</c:f>
              <c:numCache>
                <c:formatCode>0.00%</c:formatCode>
                <c:ptCount val="34"/>
                <c:pt idx="0">
                  <c:v>1</c:v>
                </c:pt>
                <c:pt idx="1">
                  <c:v>0.98333333333333328</c:v>
                </c:pt>
                <c:pt idx="2">
                  <c:v>0.96666666666666656</c:v>
                </c:pt>
                <c:pt idx="3">
                  <c:v>0.95</c:v>
                </c:pt>
                <c:pt idx="4">
                  <c:v>0.937254185620915</c:v>
                </c:pt>
                <c:pt idx="5">
                  <c:v>0.92425125228758165</c:v>
                </c:pt>
                <c:pt idx="6">
                  <c:v>0.90478872812243472</c:v>
                </c:pt>
                <c:pt idx="7">
                  <c:v>0.88441116182762824</c:v>
                </c:pt>
                <c:pt idx="8">
                  <c:v>0.86221308539149655</c:v>
                </c:pt>
                <c:pt idx="9">
                  <c:v>0.83906595387929761</c:v>
                </c:pt>
                <c:pt idx="10">
                  <c:v>0.81495853004859597</c:v>
                </c:pt>
                <c:pt idx="11">
                  <c:v>0.78987957665695718</c:v>
                </c:pt>
                <c:pt idx="12">
                  <c:v>0.76381785646194666</c:v>
                </c:pt>
                <c:pt idx="13">
                  <c:v>0.73333356079255774</c:v>
                </c:pt>
                <c:pt idx="14">
                  <c:v>0.70180116669207027</c:v>
                </c:pt>
                <c:pt idx="15">
                  <c:v>0.66920943691804946</c:v>
                </c:pt>
                <c:pt idx="16">
                  <c:v>0.63554713422806031</c:v>
                </c:pt>
                <c:pt idx="17">
                  <c:v>0.60080302137966834</c:v>
                </c:pt>
                <c:pt idx="18">
                  <c:v>0.56496586113043867</c:v>
                </c:pt>
                <c:pt idx="19">
                  <c:v>0.52802441623793606</c:v>
                </c:pt>
                <c:pt idx="20">
                  <c:v>0.48996744945972603</c:v>
                </c:pt>
                <c:pt idx="21">
                  <c:v>0.45637318237690383</c:v>
                </c:pt>
                <c:pt idx="22">
                  <c:v>0.42170746009997506</c:v>
                </c:pt>
                <c:pt idx="23">
                  <c:v>0.38595904538650538</c:v>
                </c:pt>
                <c:pt idx="24">
                  <c:v>0.36039072669685202</c:v>
                </c:pt>
                <c:pt idx="25">
                  <c:v>0.33563787783708376</c:v>
                </c:pt>
                <c:pt idx="26">
                  <c:v>0.31056929880720008</c:v>
                </c:pt>
                <c:pt idx="27">
                  <c:v>0.28518498960720096</c:v>
                </c:pt>
                <c:pt idx="28">
                  <c:v>0.2594849502370864</c:v>
                </c:pt>
                <c:pt idx="29">
                  <c:v>0.23346918069685663</c:v>
                </c:pt>
                <c:pt idx="30">
                  <c:v>0.20713768098651109</c:v>
                </c:pt>
                <c:pt idx="31">
                  <c:v>0.18049045110605044</c:v>
                </c:pt>
                <c:pt idx="32">
                  <c:v>0.1535274910554737</c:v>
                </c:pt>
                <c:pt idx="33">
                  <c:v>0.1262488008347824</c:v>
                </c:pt>
              </c:numCache>
            </c:numRef>
          </c:val>
          <c:extLst>
            <c:ext xmlns:c16="http://schemas.microsoft.com/office/drawing/2014/chart" uri="{C3380CC4-5D6E-409C-BE32-E72D297353CC}">
              <c16:uniqueId val="{00000000-94D4-43AE-B8BB-E870C3B5C79A}"/>
            </c:ext>
          </c:extLst>
        </c:ser>
        <c:ser>
          <c:idx val="11"/>
          <c:order val="1"/>
          <c:tx>
            <c:strRef>
              <c:f>'Stress calculations'!$FC$122</c:f>
              <c:strCache>
                <c:ptCount val="1"/>
                <c:pt idx="0">
                  <c:v>80% BEV</c:v>
                </c:pt>
              </c:strCache>
            </c:strRef>
          </c:tx>
          <c:spPr>
            <a:solidFill>
              <a:schemeClr val="accent4">
                <a:lumMod val="60000"/>
                <a:lumOff val="4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calculations'!$FC$123:$FC$156</c:f>
              <c:numCache>
                <c:formatCode>0.00%</c:formatCode>
                <c:ptCount val="34"/>
                <c:pt idx="0">
                  <c:v>0</c:v>
                </c:pt>
                <c:pt idx="1">
                  <c:v>0</c:v>
                </c:pt>
                <c:pt idx="2">
                  <c:v>0</c:v>
                </c:pt>
                <c:pt idx="3">
                  <c:v>0</c:v>
                </c:pt>
                <c:pt idx="4">
                  <c:v>0</c:v>
                </c:pt>
                <c:pt idx="5">
                  <c:v>0</c:v>
                </c:pt>
                <c:pt idx="6">
                  <c:v>9.8501118775652183E-3</c:v>
                </c:pt>
                <c:pt idx="7">
                  <c:v>2.0405828499169085E-2</c:v>
                </c:pt>
                <c:pt idx="8">
                  <c:v>3.1678387107246381E-2</c:v>
                </c:pt>
                <c:pt idx="9">
                  <c:v>4.3679024944231891E-2</c:v>
                </c:pt>
                <c:pt idx="10">
                  <c:v>5.641897925256039E-2</c:v>
                </c:pt>
                <c:pt idx="11">
                  <c:v>6.9909487274666657E-2</c:v>
                </c:pt>
                <c:pt idx="12">
                  <c:v>8.416178625298551E-2</c:v>
                </c:pt>
                <c:pt idx="13">
                  <c:v>9.9187113429951707E-2</c:v>
                </c:pt>
                <c:pt idx="14">
                  <c:v>0.11499670604800004</c:v>
                </c:pt>
                <c:pt idx="15">
                  <c:v>0.13160180134956528</c:v>
                </c:pt>
                <c:pt idx="16">
                  <c:v>0.14901363657708216</c:v>
                </c:pt>
                <c:pt idx="17">
                  <c:v>0.16724344897298551</c:v>
                </c:pt>
                <c:pt idx="18">
                  <c:v>0.18630247577971012</c:v>
                </c:pt>
                <c:pt idx="19">
                  <c:v>0.20620195423969084</c:v>
                </c:pt>
                <c:pt idx="20">
                  <c:v>0.22695312159536238</c:v>
                </c:pt>
                <c:pt idx="21">
                  <c:v>0.24856721508915952</c:v>
                </c:pt>
                <c:pt idx="22">
                  <c:v>0.27105547196351698</c:v>
                </c:pt>
                <c:pt idx="23">
                  <c:v>0.29442912946086952</c:v>
                </c:pt>
                <c:pt idx="24">
                  <c:v>0.30192577088556521</c:v>
                </c:pt>
                <c:pt idx="25">
                  <c:v>0.30948983576486966</c:v>
                </c:pt>
                <c:pt idx="26">
                  <c:v>0.31712132409878274</c:v>
                </c:pt>
                <c:pt idx="27">
                  <c:v>0.32482023588730435</c:v>
                </c:pt>
                <c:pt idx="28">
                  <c:v>0.33258657113043488</c:v>
                </c:pt>
                <c:pt idx="29">
                  <c:v>0.34042032982817388</c:v>
                </c:pt>
                <c:pt idx="30">
                  <c:v>0.3483215119805218</c:v>
                </c:pt>
                <c:pt idx="31">
                  <c:v>0.35629011758747836</c:v>
                </c:pt>
                <c:pt idx="32">
                  <c:v>0.36432614664904361</c:v>
                </c:pt>
                <c:pt idx="33">
                  <c:v>0.37242959916521745</c:v>
                </c:pt>
              </c:numCache>
            </c:numRef>
          </c:val>
          <c:extLst>
            <c:ext xmlns:c16="http://schemas.microsoft.com/office/drawing/2014/chart" uri="{C3380CC4-5D6E-409C-BE32-E72D297353CC}">
              <c16:uniqueId val="{00000001-94D4-43AE-B8BB-E870C3B5C79A}"/>
            </c:ext>
          </c:extLst>
        </c:ser>
        <c:ser>
          <c:idx val="4"/>
          <c:order val="2"/>
          <c:tx>
            <c:strRef>
              <c:f>'Stress calculations'!$FD$122</c:f>
              <c:strCache>
                <c:ptCount val="1"/>
                <c:pt idx="0">
                  <c:v>ICE fuel efficiency@80%BEV</c:v>
                </c:pt>
              </c:strCache>
            </c:strRef>
          </c:tx>
          <c:spPr>
            <a:solidFill>
              <a:schemeClr val="accent5">
                <a:lumMod val="60000"/>
                <a:lumOff val="40000"/>
              </a:schemeClr>
            </a:solidFill>
            <a:ln w="25400">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02-94D4-43AE-B8BB-E870C3B5C7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calculations'!$FD$123:$FD$156</c:f>
              <c:numCache>
                <c:formatCode>0.00%</c:formatCode>
                <c:ptCount val="34"/>
                <c:pt idx="0">
                  <c:v>0</c:v>
                </c:pt>
                <c:pt idx="1">
                  <c:v>0</c:v>
                </c:pt>
                <c:pt idx="2">
                  <c:v>0</c:v>
                </c:pt>
                <c:pt idx="3">
                  <c:v>0</c:v>
                </c:pt>
                <c:pt idx="4">
                  <c:v>5.0238588235294096E-3</c:v>
                </c:pt>
                <c:pt idx="5">
                  <c:v>1.0114258823529409E-2</c:v>
                </c:pt>
                <c:pt idx="6">
                  <c:v>1.1368559999999996E-2</c:v>
                </c:pt>
                <c:pt idx="7">
                  <c:v>1.2638387450980386E-2</c:v>
                </c:pt>
                <c:pt idx="8">
                  <c:v>1.3923741176470583E-2</c:v>
                </c:pt>
                <c:pt idx="9">
                  <c:v>1.5224621176470582E-2</c:v>
                </c:pt>
                <c:pt idx="10">
                  <c:v>1.6541027450980381E-2</c:v>
                </c:pt>
                <c:pt idx="11">
                  <c:v>1.7872959999999986E-2</c:v>
                </c:pt>
                <c:pt idx="12">
                  <c:v>1.9220418823529397E-2</c:v>
                </c:pt>
                <c:pt idx="13">
                  <c:v>2.0583403921568617E-2</c:v>
                </c:pt>
                <c:pt idx="14">
                  <c:v>2.1961915294117625E-2</c:v>
                </c:pt>
                <c:pt idx="15">
                  <c:v>2.3355952941176469E-2</c:v>
                </c:pt>
                <c:pt idx="16">
                  <c:v>2.4765516862745082E-2</c:v>
                </c:pt>
                <c:pt idx="17">
                  <c:v>2.6190607058823513E-2</c:v>
                </c:pt>
                <c:pt idx="18">
                  <c:v>2.7631223529411754E-2</c:v>
                </c:pt>
                <c:pt idx="19">
                  <c:v>2.90873662745098E-2</c:v>
                </c:pt>
                <c:pt idx="20">
                  <c:v>3.0559035294117663E-2</c:v>
                </c:pt>
                <c:pt idx="21">
                  <c:v>2.6456771764705886E-2</c:v>
                </c:pt>
                <c:pt idx="22">
                  <c:v>2.2303493333333334E-2</c:v>
                </c:pt>
                <c:pt idx="23">
                  <c:v>1.8099199999999968E-2</c:v>
                </c:pt>
                <c:pt idx="24">
                  <c:v>1.9343519999999999E-2</c:v>
                </c:pt>
                <c:pt idx="25">
                  <c:v>1.9456640000000001E-2</c:v>
                </c:pt>
                <c:pt idx="26">
                  <c:v>1.9569760000000005E-2</c:v>
                </c:pt>
                <c:pt idx="27">
                  <c:v>1.968288E-2</c:v>
                </c:pt>
                <c:pt idx="28">
                  <c:v>1.9796000000000001E-2</c:v>
                </c:pt>
                <c:pt idx="29">
                  <c:v>1.9909119999999995E-2</c:v>
                </c:pt>
                <c:pt idx="30">
                  <c:v>2.002224E-2</c:v>
                </c:pt>
                <c:pt idx="31">
                  <c:v>2.0135360000000001E-2</c:v>
                </c:pt>
                <c:pt idx="32">
                  <c:v>2.0248480000000006E-2</c:v>
                </c:pt>
                <c:pt idx="33">
                  <c:v>2.0361600000000001E-2</c:v>
                </c:pt>
              </c:numCache>
            </c:numRef>
          </c:val>
          <c:extLst>
            <c:ext xmlns:c16="http://schemas.microsoft.com/office/drawing/2014/chart" uri="{C3380CC4-5D6E-409C-BE32-E72D297353CC}">
              <c16:uniqueId val="{00000003-94D4-43AE-B8BB-E870C3B5C79A}"/>
            </c:ext>
          </c:extLst>
        </c:ser>
        <c:ser>
          <c:idx val="0"/>
          <c:order val="3"/>
          <c:tx>
            <c:strRef>
              <c:f>'Stress calculations'!$FE$6</c:f>
              <c:strCache>
                <c:ptCount val="1"/>
                <c:pt idx="0">
                  <c:v>Trips &gt; 8km (car to PT/carpool)</c:v>
                </c:pt>
              </c:strCache>
            </c:strRef>
          </c:tx>
          <c:spPr>
            <a:solidFill>
              <a:schemeClr val="accent6">
                <a:lumMod val="75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calculations'!$FE$123:$FE$156</c:f>
              <c:numCache>
                <c:formatCode>0.00%</c:formatCode>
                <c:ptCount val="34"/>
                <c:pt idx="0">
                  <c:v>0</c:v>
                </c:pt>
                <c:pt idx="1">
                  <c:v>0</c:v>
                </c:pt>
                <c:pt idx="2">
                  <c:v>0</c:v>
                </c:pt>
                <c:pt idx="3">
                  <c:v>0</c:v>
                </c:pt>
                <c:pt idx="4">
                  <c:v>8.229683698296875E-3</c:v>
                </c:pt>
                <c:pt idx="5">
                  <c:v>1.6568369829683665E-2</c:v>
                </c:pt>
                <c:pt idx="6">
                  <c:v>2.501605839416059E-2</c:v>
                </c:pt>
                <c:pt idx="7">
                  <c:v>3.3572749391727538E-2</c:v>
                </c:pt>
                <c:pt idx="8">
                  <c:v>4.2238442822384405E-2</c:v>
                </c:pt>
                <c:pt idx="9">
                  <c:v>5.1013138686131401E-2</c:v>
                </c:pt>
                <c:pt idx="10">
                  <c:v>5.9896836982968417E-2</c:v>
                </c:pt>
                <c:pt idx="11">
                  <c:v>6.8889537712895327E-2</c:v>
                </c:pt>
                <c:pt idx="12">
                  <c:v>7.7991240875912415E-2</c:v>
                </c:pt>
                <c:pt idx="13">
                  <c:v>8.7201946472019398E-2</c:v>
                </c:pt>
                <c:pt idx="14">
                  <c:v>9.6521654501216539E-2</c:v>
                </c:pt>
                <c:pt idx="15">
                  <c:v>0.1059503649635037</c:v>
                </c:pt>
                <c:pt idx="16">
                  <c:v>0.11548807785888072</c:v>
                </c:pt>
                <c:pt idx="17">
                  <c:v>0.12513479318734788</c:v>
                </c:pt>
                <c:pt idx="18">
                  <c:v>0.13489051094890511</c:v>
                </c:pt>
                <c:pt idx="19">
                  <c:v>0.14475523114355227</c:v>
                </c:pt>
                <c:pt idx="20">
                  <c:v>0.15472895377128956</c:v>
                </c:pt>
                <c:pt idx="21">
                  <c:v>0.16481167883211686</c:v>
                </c:pt>
                <c:pt idx="22">
                  <c:v>0.17500340632603403</c:v>
                </c:pt>
                <c:pt idx="23">
                  <c:v>0.18530413625304132</c:v>
                </c:pt>
                <c:pt idx="24">
                  <c:v>0.19571386861313872</c:v>
                </c:pt>
                <c:pt idx="25">
                  <c:v>0.20623260340632613</c:v>
                </c:pt>
                <c:pt idx="26">
                  <c:v>0.21686034063260345</c:v>
                </c:pt>
                <c:pt idx="27">
                  <c:v>0.22759708029197084</c:v>
                </c:pt>
                <c:pt idx="28">
                  <c:v>0.23844282238442835</c:v>
                </c:pt>
                <c:pt idx="29">
                  <c:v>0.24939756690997578</c:v>
                </c:pt>
                <c:pt idx="30">
                  <c:v>0.26046131386861326</c:v>
                </c:pt>
                <c:pt idx="31">
                  <c:v>0.27163406326034079</c:v>
                </c:pt>
                <c:pt idx="32">
                  <c:v>0.28291581508515834</c:v>
                </c:pt>
                <c:pt idx="33">
                  <c:v>0.29430656934306587</c:v>
                </c:pt>
              </c:numCache>
            </c:numRef>
          </c:val>
          <c:extLst>
            <c:ext xmlns:c16="http://schemas.microsoft.com/office/drawing/2014/chart" uri="{C3380CC4-5D6E-409C-BE32-E72D297353CC}">
              <c16:uniqueId val="{00000004-94D4-43AE-B8BB-E870C3B5C79A}"/>
            </c:ext>
          </c:extLst>
        </c:ser>
        <c:ser>
          <c:idx val="12"/>
          <c:order val="4"/>
          <c:tx>
            <c:strRef>
              <c:f>'Stress calculations'!$FF$6</c:f>
              <c:strCache>
                <c:ptCount val="1"/>
                <c:pt idx="0">
                  <c:v>Trips 3-8km (car to cycle/PT)</c:v>
                </c:pt>
              </c:strCache>
            </c:strRef>
          </c:tx>
          <c:spPr>
            <a:solidFill>
              <a:schemeClr val="accent6"/>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calculations'!$FF$123:$FF$156</c:f>
              <c:numCache>
                <c:formatCode>0.00%</c:formatCode>
                <c:ptCount val="34"/>
                <c:pt idx="0">
                  <c:v>0</c:v>
                </c:pt>
                <c:pt idx="1">
                  <c:v>0</c:v>
                </c:pt>
                <c:pt idx="2">
                  <c:v>0</c:v>
                </c:pt>
                <c:pt idx="3">
                  <c:v>0</c:v>
                </c:pt>
                <c:pt idx="4">
                  <c:v>3.50251419302519E-3</c:v>
                </c:pt>
                <c:pt idx="5">
                  <c:v>7.0514193025141784E-3</c:v>
                </c:pt>
                <c:pt idx="6">
                  <c:v>1.0646715328467187E-2</c:v>
                </c:pt>
                <c:pt idx="7">
                  <c:v>1.4288402270883991E-2</c:v>
                </c:pt>
                <c:pt idx="8">
                  <c:v>1.797648012976482E-2</c:v>
                </c:pt>
                <c:pt idx="9">
                  <c:v>2.1710948905109443E-2</c:v>
                </c:pt>
                <c:pt idx="10">
                  <c:v>2.5491808596918089E-2</c:v>
                </c:pt>
                <c:pt idx="11">
                  <c:v>2.9319059205190637E-2</c:v>
                </c:pt>
                <c:pt idx="12">
                  <c:v>3.3192700729926986E-2</c:v>
                </c:pt>
                <c:pt idx="13">
                  <c:v>3.7112733171127371E-2</c:v>
                </c:pt>
                <c:pt idx="14">
                  <c:v>4.1079156528791544E-2</c:v>
                </c:pt>
                <c:pt idx="15">
                  <c:v>4.509197080291974E-2</c:v>
                </c:pt>
                <c:pt idx="16">
                  <c:v>4.9151175993511716E-2</c:v>
                </c:pt>
                <c:pt idx="17">
                  <c:v>5.3256772100567715E-2</c:v>
                </c:pt>
                <c:pt idx="18">
                  <c:v>5.7408759124087522E-2</c:v>
                </c:pt>
                <c:pt idx="19">
                  <c:v>6.1607137064071359E-2</c:v>
                </c:pt>
                <c:pt idx="20">
                  <c:v>6.5851905920519108E-2</c:v>
                </c:pt>
                <c:pt idx="21">
                  <c:v>7.0143065693430651E-2</c:v>
                </c:pt>
                <c:pt idx="22">
                  <c:v>7.4480616382806189E-2</c:v>
                </c:pt>
                <c:pt idx="23">
                  <c:v>7.8864557988645514E-2</c:v>
                </c:pt>
                <c:pt idx="24">
                  <c:v>8.3294890510948905E-2</c:v>
                </c:pt>
                <c:pt idx="25">
                  <c:v>8.7771613949716207E-2</c:v>
                </c:pt>
                <c:pt idx="26">
                  <c:v>9.2294728304947296E-2</c:v>
                </c:pt>
                <c:pt idx="27">
                  <c:v>9.6864233576642381E-2</c:v>
                </c:pt>
                <c:pt idx="28">
                  <c:v>0.10148012976480141</c:v>
                </c:pt>
                <c:pt idx="29">
                  <c:v>0.10614241686942417</c:v>
                </c:pt>
                <c:pt idx="30">
                  <c:v>0.11085109489051102</c:v>
                </c:pt>
                <c:pt idx="31">
                  <c:v>0.11560616382806166</c:v>
                </c:pt>
                <c:pt idx="32">
                  <c:v>0.12040762368207633</c:v>
                </c:pt>
                <c:pt idx="33">
                  <c:v>0.12525547445255486</c:v>
                </c:pt>
              </c:numCache>
            </c:numRef>
          </c:val>
          <c:extLst>
            <c:ext xmlns:c16="http://schemas.microsoft.com/office/drawing/2014/chart" uri="{C3380CC4-5D6E-409C-BE32-E72D297353CC}">
              <c16:uniqueId val="{00000005-94D4-43AE-B8BB-E870C3B5C79A}"/>
            </c:ext>
          </c:extLst>
        </c:ser>
        <c:ser>
          <c:idx val="7"/>
          <c:order val="5"/>
          <c:tx>
            <c:strRef>
              <c:f>'Stress calculations'!$FG$6</c:f>
              <c:strCache>
                <c:ptCount val="1"/>
                <c:pt idx="0">
                  <c:v>Trips &lt; 3km (car to walk/cycle)</c:v>
                </c:pt>
              </c:strCache>
            </c:strRef>
          </c:tx>
          <c:spPr>
            <a:solidFill>
              <a:schemeClr val="accent6">
                <a:lumMod val="60000"/>
                <a:lumOff val="4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calculations'!$FG$123:$FG$156</c:f>
              <c:numCache>
                <c:formatCode>0.00%</c:formatCode>
                <c:ptCount val="34"/>
                <c:pt idx="0">
                  <c:v>0</c:v>
                </c:pt>
                <c:pt idx="1">
                  <c:v>0</c:v>
                </c:pt>
                <c:pt idx="2">
                  <c:v>0</c:v>
                </c:pt>
                <c:pt idx="3">
                  <c:v>0</c:v>
                </c:pt>
                <c:pt idx="4">
                  <c:v>1.6900243309002421E-3</c:v>
                </c:pt>
                <c:pt idx="5">
                  <c:v>3.4024330900243294E-3</c:v>
                </c:pt>
                <c:pt idx="6">
                  <c:v>5.1372262773722597E-3</c:v>
                </c:pt>
                <c:pt idx="7">
                  <c:v>6.894403892944035E-3</c:v>
                </c:pt>
                <c:pt idx="8">
                  <c:v>8.6739659367396551E-3</c:v>
                </c:pt>
                <c:pt idx="9">
                  <c:v>1.0475912408759119E-2</c:v>
                </c:pt>
                <c:pt idx="10">
                  <c:v>1.2300243309002425E-2</c:v>
                </c:pt>
                <c:pt idx="11">
                  <c:v>1.4146958637469575E-2</c:v>
                </c:pt>
                <c:pt idx="12">
                  <c:v>1.6016058394160572E-2</c:v>
                </c:pt>
                <c:pt idx="13">
                  <c:v>1.7907542579075415E-2</c:v>
                </c:pt>
                <c:pt idx="14">
                  <c:v>1.9821411192214103E-2</c:v>
                </c:pt>
                <c:pt idx="15">
                  <c:v>2.1757664233576637E-2</c:v>
                </c:pt>
                <c:pt idx="16">
                  <c:v>2.3716301703163002E-2</c:v>
                </c:pt>
                <c:pt idx="17">
                  <c:v>2.5697323600973213E-2</c:v>
                </c:pt>
                <c:pt idx="18">
                  <c:v>2.770072992700728E-2</c:v>
                </c:pt>
                <c:pt idx="19">
                  <c:v>2.9726520681265189E-2</c:v>
                </c:pt>
                <c:pt idx="20">
                  <c:v>3.1774695863746948E-2</c:v>
                </c:pt>
                <c:pt idx="21">
                  <c:v>3.3845255474452544E-2</c:v>
                </c:pt>
                <c:pt idx="22">
                  <c:v>3.5938199513381973E-2</c:v>
                </c:pt>
                <c:pt idx="23">
                  <c:v>3.8053527980535247E-2</c:v>
                </c:pt>
                <c:pt idx="24">
                  <c:v>4.019124087591238E-2</c:v>
                </c:pt>
                <c:pt idx="25">
                  <c:v>4.2351338199513359E-2</c:v>
                </c:pt>
                <c:pt idx="26">
                  <c:v>4.4533819951338184E-2</c:v>
                </c:pt>
                <c:pt idx="27">
                  <c:v>4.6738686131386833E-2</c:v>
                </c:pt>
                <c:pt idx="28">
                  <c:v>4.8965936739659342E-2</c:v>
                </c:pt>
                <c:pt idx="29">
                  <c:v>5.1215571776155683E-2</c:v>
                </c:pt>
                <c:pt idx="30">
                  <c:v>5.3487591240875883E-2</c:v>
                </c:pt>
                <c:pt idx="31">
                  <c:v>5.5781995133819921E-2</c:v>
                </c:pt>
                <c:pt idx="32">
                  <c:v>5.8098783454987812E-2</c:v>
                </c:pt>
                <c:pt idx="33">
                  <c:v>6.0437956204379528E-2</c:v>
                </c:pt>
              </c:numCache>
            </c:numRef>
          </c:val>
          <c:extLst>
            <c:ext xmlns:c16="http://schemas.microsoft.com/office/drawing/2014/chart" uri="{C3380CC4-5D6E-409C-BE32-E72D297353CC}">
              <c16:uniqueId val="{00000006-94D4-43AE-B8BB-E870C3B5C79A}"/>
            </c:ext>
          </c:extLst>
        </c:ser>
        <c:ser>
          <c:idx val="5"/>
          <c:order val="6"/>
          <c:tx>
            <c:strRef>
              <c:f>'Stress calculations'!$FH$6</c:f>
              <c:strCache>
                <c:ptCount val="1"/>
                <c:pt idx="0">
                  <c:v>Localisation</c:v>
                </c:pt>
              </c:strCache>
            </c:strRef>
          </c:tx>
          <c:spPr>
            <a:solidFill>
              <a:schemeClr val="accent2">
                <a:lumMod val="75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calculations'!$FH$123:$FH$156</c:f>
              <c:numCache>
                <c:formatCode>0.00%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3.4285714285714401E-3</c:v>
                </c:pt>
                <c:pt idx="14">
                  <c:v>6.9000000000000242E-3</c:v>
                </c:pt>
                <c:pt idx="15">
                  <c:v>1.0414285714285753E-2</c:v>
                </c:pt>
                <c:pt idx="16">
                  <c:v>1.3971428571428619E-2</c:v>
                </c:pt>
                <c:pt idx="17">
                  <c:v>1.7571428571428627E-2</c:v>
                </c:pt>
                <c:pt idx="18">
                  <c:v>2.1214285714285661E-2</c:v>
                </c:pt>
                <c:pt idx="19">
                  <c:v>2.489999999999996E-2</c:v>
                </c:pt>
                <c:pt idx="20">
                  <c:v>2.8628571428571406E-2</c:v>
                </c:pt>
                <c:pt idx="21">
                  <c:v>3.2399999999999991E-2</c:v>
                </c:pt>
                <c:pt idx="22">
                  <c:v>3.6214285714285713E-2</c:v>
                </c:pt>
                <c:pt idx="23">
                  <c:v>4.007142857142857E-2</c:v>
                </c:pt>
                <c:pt idx="24">
                  <c:v>4.3971428571428592E-2</c:v>
                </c:pt>
                <c:pt idx="25">
                  <c:v>4.791428571428575E-2</c:v>
                </c:pt>
                <c:pt idx="26">
                  <c:v>5.1900000000000057E-2</c:v>
                </c:pt>
                <c:pt idx="27">
                  <c:v>5.592857142857148E-2</c:v>
                </c:pt>
                <c:pt idx="28">
                  <c:v>5.9999999999999949E-2</c:v>
                </c:pt>
                <c:pt idx="29">
                  <c:v>6.4114285714285651E-2</c:v>
                </c:pt>
                <c:pt idx="30">
                  <c:v>6.8271428571428538E-2</c:v>
                </c:pt>
                <c:pt idx="31">
                  <c:v>7.2471428571428562E-2</c:v>
                </c:pt>
                <c:pt idx="32">
                  <c:v>7.6714285714285721E-2</c:v>
                </c:pt>
                <c:pt idx="33">
                  <c:v>8.1000000000000003E-2</c:v>
                </c:pt>
              </c:numCache>
            </c:numRef>
          </c:val>
          <c:extLst>
            <c:ext xmlns:c16="http://schemas.microsoft.com/office/drawing/2014/chart" uri="{C3380CC4-5D6E-409C-BE32-E72D297353CC}">
              <c16:uniqueId val="{00000007-94D4-43AE-B8BB-E870C3B5C79A}"/>
            </c:ext>
          </c:extLst>
        </c:ser>
        <c:ser>
          <c:idx val="9"/>
          <c:order val="7"/>
          <c:tx>
            <c:strRef>
              <c:f>'Stress calculations'!$FI$6</c:f>
              <c:strCache>
                <c:ptCount val="1"/>
                <c:pt idx="0">
                  <c:v>Home delivery</c:v>
                </c:pt>
              </c:strCache>
            </c:strRef>
          </c:tx>
          <c:spPr>
            <a:solidFill>
              <a:schemeClr val="accent2"/>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calculations'!$FI$123:$FI$156</c:f>
              <c:numCache>
                <c:formatCode>0.00%</c:formatCode>
                <c:ptCount val="34"/>
                <c:pt idx="0">
                  <c:v>0</c:v>
                </c:pt>
                <c:pt idx="1">
                  <c:v>0</c:v>
                </c:pt>
                <c:pt idx="2">
                  <c:v>0</c:v>
                </c:pt>
                <c:pt idx="3">
                  <c:v>0</c:v>
                </c:pt>
                <c:pt idx="4">
                  <c:v>0</c:v>
                </c:pt>
                <c:pt idx="5">
                  <c:v>0</c:v>
                </c:pt>
                <c:pt idx="6">
                  <c:v>0</c:v>
                </c:pt>
                <c:pt idx="7">
                  <c:v>0</c:v>
                </c:pt>
                <c:pt idx="8">
                  <c:v>8.9423076923081206E-4</c:v>
                </c:pt>
                <c:pt idx="9">
                  <c:v>1.7999999999999707E-3</c:v>
                </c:pt>
                <c:pt idx="10">
                  <c:v>2.7173076923077059E-3</c:v>
                </c:pt>
                <c:pt idx="11">
                  <c:v>3.6461538461539022E-3</c:v>
                </c:pt>
                <c:pt idx="12">
                  <c:v>4.5865384615384449E-3</c:v>
                </c:pt>
                <c:pt idx="13">
                  <c:v>5.5384615384615659E-3</c:v>
                </c:pt>
                <c:pt idx="14">
                  <c:v>6.501923076923031E-3</c:v>
                </c:pt>
                <c:pt idx="15">
                  <c:v>7.4769230769230763E-3</c:v>
                </c:pt>
                <c:pt idx="16">
                  <c:v>8.4634615384615811E-3</c:v>
                </c:pt>
                <c:pt idx="17">
                  <c:v>9.4615384615384258E-3</c:v>
                </c:pt>
                <c:pt idx="18">
                  <c:v>1.0471153846153856E-2</c:v>
                </c:pt>
                <c:pt idx="19">
                  <c:v>1.149230769230775E-2</c:v>
                </c:pt>
                <c:pt idx="20">
                  <c:v>1.2524999999999982E-2</c:v>
                </c:pt>
                <c:pt idx="21">
                  <c:v>1.35692307692308E-2</c:v>
                </c:pt>
                <c:pt idx="22">
                  <c:v>1.4624999999999949E-2</c:v>
                </c:pt>
                <c:pt idx="23">
                  <c:v>1.5692307692307682E-2</c:v>
                </c:pt>
                <c:pt idx="24">
                  <c:v>1.6771153846153887E-2</c:v>
                </c:pt>
                <c:pt idx="25">
                  <c:v>1.7861538461538425E-2</c:v>
                </c:pt>
                <c:pt idx="26">
                  <c:v>1.8963461538461551E-2</c:v>
                </c:pt>
                <c:pt idx="27">
                  <c:v>2.0076923076923135E-2</c:v>
                </c:pt>
                <c:pt idx="28">
                  <c:v>2.1201923076923056E-2</c:v>
                </c:pt>
                <c:pt idx="29">
                  <c:v>2.233846153846156E-2</c:v>
                </c:pt>
                <c:pt idx="30">
                  <c:v>2.3486538461538402E-2</c:v>
                </c:pt>
                <c:pt idx="31">
                  <c:v>2.4646153846153838E-2</c:v>
                </c:pt>
                <c:pt idx="32">
                  <c:v>2.581730769230774E-2</c:v>
                </c:pt>
                <c:pt idx="33">
                  <c:v>2.6999999999999958E-2</c:v>
                </c:pt>
              </c:numCache>
            </c:numRef>
          </c:val>
          <c:extLst>
            <c:ext xmlns:c16="http://schemas.microsoft.com/office/drawing/2014/chart" uri="{C3380CC4-5D6E-409C-BE32-E72D297353CC}">
              <c16:uniqueId val="{00000008-94D4-43AE-B8BB-E870C3B5C79A}"/>
            </c:ext>
          </c:extLst>
        </c:ser>
        <c:ser>
          <c:idx val="6"/>
          <c:order val="8"/>
          <c:tx>
            <c:strRef>
              <c:f>'Stress calculations'!$FJ$6</c:f>
              <c:strCache>
                <c:ptCount val="1"/>
                <c:pt idx="0">
                  <c:v>Online / Teleservices</c:v>
                </c:pt>
              </c:strCache>
            </c:strRef>
          </c:tx>
          <c:spPr>
            <a:solidFill>
              <a:schemeClr val="accent2">
                <a:lumMod val="60000"/>
                <a:lumOff val="4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calculations'!$FJ$123:$FJ$156</c:f>
              <c:numCache>
                <c:formatCode>0.00%</c:formatCode>
                <c:ptCount val="34"/>
                <c:pt idx="0">
                  <c:v>0</c:v>
                </c:pt>
                <c:pt idx="1">
                  <c:v>0</c:v>
                </c:pt>
                <c:pt idx="2">
                  <c:v>0</c:v>
                </c:pt>
                <c:pt idx="3">
                  <c:v>0</c:v>
                </c:pt>
                <c:pt idx="4">
                  <c:v>0</c:v>
                </c:pt>
                <c:pt idx="5">
                  <c:v>0</c:v>
                </c:pt>
                <c:pt idx="6">
                  <c:v>2.5499999999997194E-4</c:v>
                </c:pt>
                <c:pt idx="7">
                  <c:v>5.1333333333327682E-4</c:v>
                </c:pt>
                <c:pt idx="8">
                  <c:v>7.7500000000002946E-4</c:v>
                </c:pt>
                <c:pt idx="9">
                  <c:v>1.040000000000001E-3</c:v>
                </c:pt>
                <c:pt idx="10">
                  <c:v>1.3083333333333055E-3</c:v>
                </c:pt>
                <c:pt idx="11">
                  <c:v>1.5799999999999423E-3</c:v>
                </c:pt>
                <c:pt idx="12">
                  <c:v>1.8550000000000307E-3</c:v>
                </c:pt>
                <c:pt idx="13">
                  <c:v>2.1333333333333352E-3</c:v>
                </c:pt>
                <c:pt idx="14">
                  <c:v>2.4149999999999727E-3</c:v>
                </c:pt>
                <c:pt idx="15">
                  <c:v>2.6999999999999433E-3</c:v>
                </c:pt>
                <c:pt idx="16">
                  <c:v>2.9883333333333663E-3</c:v>
                </c:pt>
                <c:pt idx="17">
                  <c:v>3.2800000000000021E-3</c:v>
                </c:pt>
                <c:pt idx="18">
                  <c:v>3.5749999999999723E-3</c:v>
                </c:pt>
                <c:pt idx="19">
                  <c:v>3.8733333333332755E-3</c:v>
                </c:pt>
                <c:pt idx="20">
                  <c:v>4.1750000000000355E-3</c:v>
                </c:pt>
                <c:pt idx="21">
                  <c:v>4.4800000000000057E-3</c:v>
                </c:pt>
                <c:pt idx="22">
                  <c:v>4.7883333333333068E-3</c:v>
                </c:pt>
                <c:pt idx="23">
                  <c:v>5.0999999999999405E-3</c:v>
                </c:pt>
                <c:pt idx="24">
                  <c:v>5.4150000000000361E-3</c:v>
                </c:pt>
                <c:pt idx="25">
                  <c:v>5.7333333333333385E-3</c:v>
                </c:pt>
                <c:pt idx="26">
                  <c:v>6.0549999999999745E-3</c:v>
                </c:pt>
                <c:pt idx="27">
                  <c:v>6.3799999999999404E-3</c:v>
                </c:pt>
                <c:pt idx="28">
                  <c:v>6.7083333333333717E-3</c:v>
                </c:pt>
                <c:pt idx="29">
                  <c:v>7.0400000000000046E-3</c:v>
                </c:pt>
                <c:pt idx="30">
                  <c:v>7.3749999999999736E-3</c:v>
                </c:pt>
                <c:pt idx="31">
                  <c:v>7.7133333333332752E-3</c:v>
                </c:pt>
                <c:pt idx="32">
                  <c:v>8.0550000000000413E-3</c:v>
                </c:pt>
                <c:pt idx="33">
                  <c:v>8.4000000000000064E-3</c:v>
                </c:pt>
              </c:numCache>
            </c:numRef>
          </c:val>
          <c:extLst>
            <c:ext xmlns:c16="http://schemas.microsoft.com/office/drawing/2014/chart" uri="{C3380CC4-5D6E-409C-BE32-E72D297353CC}">
              <c16:uniqueId val="{00000009-94D4-43AE-B8BB-E870C3B5C79A}"/>
            </c:ext>
          </c:extLst>
        </c:ser>
        <c:ser>
          <c:idx val="3"/>
          <c:order val="9"/>
          <c:tx>
            <c:strRef>
              <c:f>'Stress calculations'!$FK$6</c:f>
              <c:strCache>
                <c:ptCount val="1"/>
                <c:pt idx="0">
                  <c:v>Work from Home</c:v>
                </c:pt>
              </c:strCache>
            </c:strRef>
          </c:tx>
          <c:spPr>
            <a:solidFill>
              <a:schemeClr val="accent2">
                <a:lumMod val="20000"/>
                <a:lumOff val="80000"/>
              </a:schemeClr>
            </a:solidFill>
            <a:ln w="25400">
              <a:noFill/>
            </a:ln>
            <a:effectLst/>
          </c:spPr>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calculations'!$FK$123:$FK$156</c:f>
              <c:numCache>
                <c:formatCode>0.00%</c:formatCode>
                <c:ptCount val="34"/>
                <c:pt idx="0">
                  <c:v>0</c:v>
                </c:pt>
                <c:pt idx="1">
                  <c:v>0</c:v>
                </c:pt>
                <c:pt idx="2">
                  <c:v>0</c:v>
                </c:pt>
                <c:pt idx="3">
                  <c:v>0</c:v>
                </c:pt>
                <c:pt idx="4">
                  <c:v>9.6639999999996061E-4</c:v>
                </c:pt>
                <c:pt idx="5">
                  <c:v>1.9456000000000334E-3</c:v>
                </c:pt>
                <c:pt idx="6">
                  <c:v>2.9375999999999938E-3</c:v>
                </c:pt>
                <c:pt idx="7">
                  <c:v>3.9423999999999536E-3</c:v>
                </c:pt>
                <c:pt idx="8">
                  <c:v>4.9600000000000278E-3</c:v>
                </c:pt>
                <c:pt idx="9">
                  <c:v>5.9903999999999869E-3</c:v>
                </c:pt>
                <c:pt idx="10">
                  <c:v>7.0335999999999455E-3</c:v>
                </c:pt>
                <c:pt idx="11">
                  <c:v>8.089600000000018E-3</c:v>
                </c:pt>
                <c:pt idx="12">
                  <c:v>9.158399999999978E-3</c:v>
                </c:pt>
                <c:pt idx="13">
                  <c:v>1.0240000000000056E-2</c:v>
                </c:pt>
                <c:pt idx="14">
                  <c:v>1.1334400000000017E-2</c:v>
                </c:pt>
                <c:pt idx="15">
                  <c:v>1.2441599999999976E-2</c:v>
                </c:pt>
                <c:pt idx="16">
                  <c:v>1.356160000000005E-2</c:v>
                </c:pt>
                <c:pt idx="17">
                  <c:v>1.4694400000000005E-2</c:v>
                </c:pt>
                <c:pt idx="18">
                  <c:v>1.5839999999999962E-2</c:v>
                </c:pt>
                <c:pt idx="19">
                  <c:v>1.6998400000000045E-2</c:v>
                </c:pt>
                <c:pt idx="20">
                  <c:v>1.8169600000000004E-2</c:v>
                </c:pt>
                <c:pt idx="21">
                  <c:v>1.9353599999999964E-2</c:v>
                </c:pt>
                <c:pt idx="22">
                  <c:v>2.0550400000000038E-2</c:v>
                </c:pt>
                <c:pt idx="23">
                  <c:v>2.1759999999999988E-2</c:v>
                </c:pt>
                <c:pt idx="24">
                  <c:v>2.2982399999999948E-2</c:v>
                </c:pt>
                <c:pt idx="25">
                  <c:v>2.4217600000000034E-2</c:v>
                </c:pt>
                <c:pt idx="26">
                  <c:v>2.5465599999999991E-2</c:v>
                </c:pt>
                <c:pt idx="27">
                  <c:v>2.6726399999999938E-2</c:v>
                </c:pt>
                <c:pt idx="28">
                  <c:v>2.8000000000000028E-2</c:v>
                </c:pt>
                <c:pt idx="29">
                  <c:v>2.9286399999999973E-2</c:v>
                </c:pt>
                <c:pt idx="30">
                  <c:v>3.0585599999999932E-2</c:v>
                </c:pt>
                <c:pt idx="31">
                  <c:v>3.1897600000000019E-2</c:v>
                </c:pt>
                <c:pt idx="32">
                  <c:v>3.3222399999999978E-2</c:v>
                </c:pt>
                <c:pt idx="33">
                  <c:v>3.4559999999999924E-2</c:v>
                </c:pt>
              </c:numCache>
            </c:numRef>
          </c:val>
          <c:extLst>
            <c:ext xmlns:c16="http://schemas.microsoft.com/office/drawing/2014/chart" uri="{C3380CC4-5D6E-409C-BE32-E72D297353CC}">
              <c16:uniqueId val="{0000000A-94D4-43AE-B8BB-E870C3B5C79A}"/>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'Stress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0F-94D4-43AE-B8BB-E870C3B5C7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'Stress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0-94D4-43AE-B8BB-E870C3B5C79A}"/>
                  </c:ext>
                </c:extLst>
              </c15:ser>
            </c15:filteredAreaSeries>
          </c:ext>
        </c:extLst>
      </c:areaChart>
      <c:barChart>
        <c:barDir val="col"/>
        <c:grouping val="clustered"/>
        <c:varyColors val="0"/>
        <c:ser>
          <c:idx val="10"/>
          <c:order val="11"/>
          <c:tx>
            <c:strRef>
              <c:f>'Stress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0C-94D4-43AE-B8BB-E870C3B5C79A}"/>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0C-94D4-43AE-B8BB-E870C3B5C7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'Stress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calculations'!$EZ$7:$EZ$40</c:f>
              <c:numCache>
                <c:formatCode>0.00%</c:formatCode>
                <c:ptCount val="34"/>
                <c:pt idx="3">
                  <c:v>0.95</c:v>
                </c:pt>
              </c:numCache>
            </c:numRef>
          </c:val>
          <c:extLst>
            <c:ext xmlns:c16="http://schemas.microsoft.com/office/drawing/2014/chart" uri="{C3380CC4-5D6E-409C-BE32-E72D297353CC}">
              <c16:uniqueId val="{0000000D-94D4-43AE-B8BB-E870C3B5C79A}"/>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'Stress calculations'!$EY$6</c:f>
              <c:strCache>
                <c:ptCount val="1"/>
                <c:pt idx="0">
                  <c:v>Start </c:v>
                </c:pt>
              </c:strCache>
            </c:strRef>
          </c:tx>
          <c:spPr>
            <a:ln w="41275" cap="rnd">
              <a:solidFill>
                <a:schemeClr val="accent3">
                  <a:lumMod val="60000"/>
                </a:schemeClr>
              </a:solidFill>
              <a:round/>
            </a:ln>
            <a:effectLst/>
          </c:spPr>
          <c:marker>
            <c:symbol val="none"/>
          </c:marker>
          <c:cat>
            <c:numRef>
              <c:f>'Stress calculations'!$EX$123:$EX$156</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calculations'!$EY$7:$EY$40</c:f>
              <c:numCache>
                <c:formatCode>0.00%</c:formatCode>
                <c:ptCount val="34"/>
                <c:pt idx="0" formatCode="0%">
                  <c:v>1</c:v>
                </c:pt>
                <c:pt idx="1">
                  <c:v>0.98333333333333328</c:v>
                </c:pt>
                <c:pt idx="2">
                  <c:v>0.96666666666666656</c:v>
                </c:pt>
                <c:pt idx="3">
                  <c:v>0.95</c:v>
                </c:pt>
                <c:pt idx="4">
                  <c:v>0.95666666666666667</c:v>
                </c:pt>
                <c:pt idx="5">
                  <c:v>0.96333333333333326</c:v>
                </c:pt>
                <c:pt idx="6">
                  <c:v>0.97</c:v>
                </c:pt>
                <c:pt idx="7">
                  <c:v>0.97666666666666657</c:v>
                </c:pt>
                <c:pt idx="8">
                  <c:v>0.98333333333333328</c:v>
                </c:pt>
                <c:pt idx="9">
                  <c:v>0.99</c:v>
                </c:pt>
                <c:pt idx="10">
                  <c:v>0.99666666666666659</c:v>
                </c:pt>
                <c:pt idx="11">
                  <c:v>1.0033333333333332</c:v>
                </c:pt>
                <c:pt idx="12">
                  <c:v>1.01</c:v>
                </c:pt>
                <c:pt idx="13">
                  <c:v>1.0166666666666666</c:v>
                </c:pt>
                <c:pt idx="14">
                  <c:v>1.0233333333333332</c:v>
                </c:pt>
                <c:pt idx="15">
                  <c:v>1.03</c:v>
                </c:pt>
                <c:pt idx="16">
                  <c:v>1.0366666666666666</c:v>
                </c:pt>
                <c:pt idx="17">
                  <c:v>1.0433333333333332</c:v>
                </c:pt>
                <c:pt idx="18">
                  <c:v>1.05</c:v>
                </c:pt>
                <c:pt idx="19">
                  <c:v>1.0566666666666666</c:v>
                </c:pt>
                <c:pt idx="20">
                  <c:v>1.0633333333333332</c:v>
                </c:pt>
                <c:pt idx="21">
                  <c:v>1.07</c:v>
                </c:pt>
                <c:pt idx="22">
                  <c:v>1.0766666666666667</c:v>
                </c:pt>
                <c:pt idx="23">
                  <c:v>1.0833333333333333</c:v>
                </c:pt>
                <c:pt idx="24">
                  <c:v>1.0899999999999999</c:v>
                </c:pt>
                <c:pt idx="25">
                  <c:v>1.0966666666666667</c:v>
                </c:pt>
                <c:pt idx="26">
                  <c:v>1.1033333333333333</c:v>
                </c:pt>
                <c:pt idx="27">
                  <c:v>1.1099999999999999</c:v>
                </c:pt>
                <c:pt idx="28">
                  <c:v>1.1166666666666667</c:v>
                </c:pt>
                <c:pt idx="29">
                  <c:v>1.1233333333333333</c:v>
                </c:pt>
                <c:pt idx="30">
                  <c:v>1.1299999999999999</c:v>
                </c:pt>
                <c:pt idx="31">
                  <c:v>1.1366666666666667</c:v>
                </c:pt>
                <c:pt idx="32">
                  <c:v>1.1433333333333333</c:v>
                </c:pt>
                <c:pt idx="33">
                  <c:v>1.1499999999999999</c:v>
                </c:pt>
              </c:numCache>
            </c:numRef>
          </c:val>
          <c:smooth val="0"/>
          <c:extLst>
            <c:ext xmlns:c16="http://schemas.microsoft.com/office/drawing/2014/chart" uri="{C3380CC4-5D6E-409C-BE32-E72D297353CC}">
              <c16:uniqueId val="{0000000E-94D4-43AE-B8BB-E870C3B5C79A}"/>
            </c:ext>
          </c:extLst>
        </c:ser>
        <c:ser>
          <c:idx val="14"/>
          <c:order val="14"/>
          <c:tx>
            <c:strRef>
              <c:f>'Stress calculations'!$FM$122</c:f>
              <c:strCache>
                <c:ptCount val="1"/>
                <c:pt idx="0">
                  <c:v>Fit for 55' and Green Deal target </c:v>
                </c:pt>
              </c:strCache>
            </c:strRef>
          </c:tx>
          <c:spPr>
            <a:ln w="28575" cap="rnd">
              <a:solidFill>
                <a:schemeClr val="accent3">
                  <a:lumMod val="80000"/>
                  <a:lumOff val="20000"/>
                </a:schemeClr>
              </a:solidFill>
              <a:prstDash val="dash"/>
              <a:round/>
            </a:ln>
            <a:effectLst/>
          </c:spPr>
          <c:marker>
            <c:symbol val="none"/>
          </c:marker>
          <c:cat>
            <c:numRef>
              <c:f>'Stress calculations'!$EX$123:$EX$156</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'Stress calculations'!$FM$123:$FM$156</c:f>
              <c:numCache>
                <c:formatCode>0.00%</c:formatCode>
                <c:ptCount val="34"/>
                <c:pt idx="0">
                  <c:v>#N/A</c:v>
                </c:pt>
                <c:pt idx="1">
                  <c:v>#N/A</c:v>
                </c:pt>
                <c:pt idx="2">
                  <c:v>#N/A</c:v>
                </c:pt>
                <c:pt idx="3">
                  <c:v>0.95</c:v>
                </c:pt>
                <c:pt idx="4" formatCode="0.0%">
                  <c:v>0.89999999999999991</c:v>
                </c:pt>
                <c:pt idx="5" formatCode="0.0%">
                  <c:v>0.84999999999999987</c:v>
                </c:pt>
                <c:pt idx="6" formatCode="0.0%">
                  <c:v>0.79999999999999982</c:v>
                </c:pt>
                <c:pt idx="7" formatCode="0.0%">
                  <c:v>0.74999999999999978</c:v>
                </c:pt>
                <c:pt idx="8" formatCode="0.0%">
                  <c:v>0.69999999999999973</c:v>
                </c:pt>
                <c:pt idx="9" formatCode="0.0%">
                  <c:v>0.64999999999999969</c:v>
                </c:pt>
                <c:pt idx="10" formatCode="0.0%">
                  <c:v>0.59999999999999964</c:v>
                </c:pt>
                <c:pt idx="11" formatCode="0.0%">
                  <c:v>0.5499999999999996</c:v>
                </c:pt>
                <c:pt idx="12" formatCode="0.0%">
                  <c:v>0.49999999999999961</c:v>
                </c:pt>
                <c:pt idx="13" formatCode="0.0%">
                  <c:v>0.44999999999999962</c:v>
                </c:pt>
                <c:pt idx="14" formatCode="0.0%">
                  <c:v>0.43249999999999966</c:v>
                </c:pt>
                <c:pt idx="15" formatCode="0.0%">
                  <c:v>0.4149999999999997</c:v>
                </c:pt>
                <c:pt idx="16" formatCode="0.0%">
                  <c:v>0.39749999999999974</c:v>
                </c:pt>
                <c:pt idx="17" formatCode="0.0%">
                  <c:v>0.37999999999999978</c:v>
                </c:pt>
                <c:pt idx="18" formatCode="0.0%">
                  <c:v>0.36249999999999982</c:v>
                </c:pt>
                <c:pt idx="19" formatCode="0.0%">
                  <c:v>0.34499999999999986</c:v>
                </c:pt>
                <c:pt idx="20" formatCode="0.0%">
                  <c:v>0.3274999999999999</c:v>
                </c:pt>
                <c:pt idx="21" formatCode="0.0%">
                  <c:v>0.30999999999999994</c:v>
                </c:pt>
                <c:pt idx="22" formatCode="0.0%">
                  <c:v>0.29249999999999998</c:v>
                </c:pt>
                <c:pt idx="23" formatCode="0.0%">
                  <c:v>0.27500000000000002</c:v>
                </c:pt>
                <c:pt idx="24" formatCode="0.0%">
                  <c:v>0.25750000000000006</c:v>
                </c:pt>
                <c:pt idx="25" formatCode="0.0%">
                  <c:v>0.24000000000000007</c:v>
                </c:pt>
                <c:pt idx="26" formatCode="0.0%">
                  <c:v>0.22250000000000009</c:v>
                </c:pt>
                <c:pt idx="27" formatCode="0.0%">
                  <c:v>0.2050000000000001</c:v>
                </c:pt>
                <c:pt idx="28" formatCode="0.0%">
                  <c:v>0.18750000000000011</c:v>
                </c:pt>
                <c:pt idx="29" formatCode="0.0%">
                  <c:v>0.17000000000000012</c:v>
                </c:pt>
                <c:pt idx="30" formatCode="0.0%">
                  <c:v>0.15250000000000014</c:v>
                </c:pt>
                <c:pt idx="31" formatCode="0.0%">
                  <c:v>0.13500000000000015</c:v>
                </c:pt>
                <c:pt idx="32" formatCode="0.0%">
                  <c:v>0.11750000000000016</c:v>
                </c:pt>
                <c:pt idx="33" formatCode="0.0%">
                  <c:v>0.10000000000000017</c:v>
                </c:pt>
              </c:numCache>
            </c:numRef>
          </c:val>
          <c:smooth val="0"/>
          <c:extLst>
            <c:ext xmlns:c16="http://schemas.microsoft.com/office/drawing/2014/chart" uri="{C3380CC4-5D6E-409C-BE32-E72D297353CC}">
              <c16:uniqueId val="{00000013-94D4-43AE-B8BB-E870C3B5C79A}"/>
            </c:ext>
          </c:extLst>
        </c:ser>
        <c:dLbls>
          <c:showLegendKey val="0"/>
          <c:showVal val="0"/>
          <c:showCatName val="0"/>
          <c:showSerName val="0"/>
          <c:showPercent val="0"/>
          <c:showBubbleSize val="0"/>
        </c:dLbls>
        <c:marker val="1"/>
        <c:smooth val="0"/>
        <c:axId val="1161073112"/>
        <c:axId val="1161076392"/>
        <c:extLst>
          <c:ext xmlns:c15="http://schemas.microsoft.com/office/drawing/2012/chart" uri="{02D57815-91ED-43cb-92C2-25804820EDAC}">
            <c15:filteredLineSeries>
              <c15:ser>
                <c:idx val="13"/>
                <c:order val="13"/>
                <c:tx>
                  <c:strRef>
                    <c:extLst>
                      <c:ext uri="{02D57815-91ED-43cb-92C2-25804820EDAC}">
                        <c15:formulaRef>
                          <c15:sqref>'Stress calculations'!$FL$122</c15:sqref>
                        </c15:formulaRef>
                      </c:ext>
                    </c:extLst>
                    <c:strCache>
                      <c:ptCount val="1"/>
                      <c:pt idx="0">
                        <c:v>Green deal target </c:v>
                      </c:pt>
                    </c:strCache>
                  </c:strRef>
                </c:tx>
                <c:spPr>
                  <a:ln w="28575" cap="rnd">
                    <a:solidFill>
                      <a:schemeClr val="accent2">
                        <a:lumMod val="80000"/>
                        <a:lumOff val="20000"/>
                      </a:schemeClr>
                    </a:solidFill>
                    <a:prstDash val="dash"/>
                    <a:round/>
                  </a:ln>
                  <a:effectLst/>
                </c:spPr>
                <c:marker>
                  <c:symbol val="none"/>
                </c:marker>
                <c:cat>
                  <c:numRef>
                    <c:extLst>
                      <c:ext uri="{02D57815-91ED-43cb-92C2-25804820EDAC}">
                        <c15:formulaRef>
                          <c15:sqref>'Stress calculations'!$EX$123:$EX$156</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'Stress calculations'!$FL$123:$FL$156</c15:sqref>
                        </c15:formulaRef>
                      </c:ext>
                    </c:extLst>
                    <c:numCache>
                      <c:formatCode>0%</c:formatCode>
                      <c:ptCount val="34"/>
                      <c:pt idx="0">
                        <c:v>#N/A</c:v>
                      </c:pt>
                      <c:pt idx="1">
                        <c:v>#N/A</c:v>
                      </c:pt>
                      <c:pt idx="2">
                        <c:v>#N/A</c:v>
                      </c:pt>
                      <c:pt idx="3" formatCode="0.00%">
                        <c:v>#N/A</c:v>
                      </c:pt>
                      <c:pt idx="4" formatCode="0.0%">
                        <c:v>#N/A</c:v>
                      </c:pt>
                      <c:pt idx="5" formatCode="0.0%">
                        <c:v>#N/A</c:v>
                      </c:pt>
                      <c:pt idx="6" formatCode="0.0%">
                        <c:v>#N/A</c:v>
                      </c:pt>
                      <c:pt idx="7" formatCode="0.0%">
                        <c:v>#N/A</c:v>
                      </c:pt>
                      <c:pt idx="8" formatCode="0.0%">
                        <c:v>#N/A</c:v>
                      </c:pt>
                      <c:pt idx="9" formatCode="0.0%">
                        <c:v>#N/A</c:v>
                      </c:pt>
                      <c:pt idx="10" formatCode="0.0%">
                        <c:v>#N/A</c:v>
                      </c:pt>
                      <c:pt idx="11" formatCode="0.0%">
                        <c:v>#N/A</c:v>
                      </c:pt>
                      <c:pt idx="12" formatCode="0.0%">
                        <c:v>#N/A</c:v>
                      </c:pt>
                      <c:pt idx="13" formatCode="0.0%">
                        <c:v>#N/A</c:v>
                      </c:pt>
                      <c:pt idx="14" formatCode="0.0%">
                        <c:v>#N/A</c:v>
                      </c:pt>
                      <c:pt idx="15" formatCode="0.0%">
                        <c:v>#N/A</c:v>
                      </c:pt>
                      <c:pt idx="16" formatCode="0.0%">
                        <c:v>#N/A</c:v>
                      </c:pt>
                      <c:pt idx="17" formatCode="0.0%">
                        <c:v>#N/A</c:v>
                      </c:pt>
                      <c:pt idx="18" formatCode="0.0%">
                        <c:v>#N/A</c:v>
                      </c:pt>
                      <c:pt idx="19" formatCode="0.0%">
                        <c:v>#N/A</c:v>
                      </c:pt>
                      <c:pt idx="20" formatCode="0.0%">
                        <c:v>#N/A</c:v>
                      </c:pt>
                      <c:pt idx="21" formatCode="0.0%">
                        <c:v>#N/A</c:v>
                      </c:pt>
                      <c:pt idx="22" formatCode="0.0%">
                        <c:v>#N/A</c:v>
                      </c:pt>
                      <c:pt idx="23" formatCode="0.0%">
                        <c:v>#N/A</c:v>
                      </c:pt>
                      <c:pt idx="24" formatCode="0.0%">
                        <c:v>#N/A</c:v>
                      </c:pt>
                      <c:pt idx="25" formatCode="0.0%">
                        <c:v>#N/A</c:v>
                      </c:pt>
                      <c:pt idx="26" formatCode="0.0%">
                        <c:v>#N/A</c:v>
                      </c:pt>
                      <c:pt idx="27" formatCode="0.0%">
                        <c:v>#N/A</c:v>
                      </c:pt>
                      <c:pt idx="28" formatCode="0.0%">
                        <c:v>#N/A</c:v>
                      </c:pt>
                      <c:pt idx="29" formatCode="0.0%">
                        <c:v>#N/A</c:v>
                      </c:pt>
                      <c:pt idx="30" formatCode="0.0%">
                        <c:v>#N/A</c:v>
                      </c:pt>
                      <c:pt idx="31" formatCode="0.0%">
                        <c:v>#N/A</c:v>
                      </c:pt>
                      <c:pt idx="32" formatCode="0.0%">
                        <c:v>#N/A</c:v>
                      </c:pt>
                      <c:pt idx="33" formatCode="0.0%">
                        <c:v>#N/A</c:v>
                      </c:pt>
                    </c:numCache>
                  </c:numRef>
                </c:val>
                <c:smooth val="0"/>
                <c:extLst>
                  <c:ext xmlns:c16="http://schemas.microsoft.com/office/drawing/2014/chart" uri="{C3380CC4-5D6E-409C-BE32-E72D297353CC}">
                    <c16:uniqueId val="{00000012-94D4-43AE-B8BB-E870C3B5C79A}"/>
                  </c:ext>
                </c:extLst>
              </c15:ser>
            </c15:filteredLineSeries>
          </c:ext>
        </c:extLst>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legend>
      <c:legendPos val="b"/>
      <c:legendEntry>
        <c:idx val="10"/>
        <c:delete val="1"/>
      </c:legendEntry>
      <c:legendEntry>
        <c:idx val="11"/>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Full range of BEV uptake scenarios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'Timing calculations'!$EC$10</c:f>
              <c:strCache>
                <c:ptCount val="1"/>
                <c:pt idx="0">
                  <c:v>Residual emissions</c:v>
                </c:pt>
              </c:strCache>
            </c:strRef>
          </c:tx>
          <c:spPr>
            <a:solidFill>
              <a:schemeClr val="bg1">
                <a:lumMod val="75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calculations'!$EC$11:$EC$40</c:f>
              <c:numCache>
                <c:formatCode>0.00%</c:formatCode>
                <c:ptCount val="30"/>
                <c:pt idx="0">
                  <c:v>0.91804089594962079</c:v>
                </c:pt>
                <c:pt idx="1">
                  <c:v>0.8860817918992413</c:v>
                </c:pt>
                <c:pt idx="2">
                  <c:v>0.84657025662635577</c:v>
                </c:pt>
                <c:pt idx="3">
                  <c:v>0.8063563937012963</c:v>
                </c:pt>
                <c:pt idx="4">
                  <c:v>0.76457481850867826</c:v>
                </c:pt>
                <c:pt idx="5">
                  <c:v>0.72209091566388639</c:v>
                </c:pt>
                <c:pt idx="6">
                  <c:v>0.67890468516692026</c:v>
                </c:pt>
                <c:pt idx="7">
                  <c:v>0.6350161270177801</c:v>
                </c:pt>
                <c:pt idx="8">
                  <c:v>0.59042524121646656</c:v>
                </c:pt>
                <c:pt idx="9">
                  <c:v>0.54513202776297875</c:v>
                </c:pt>
                <c:pt idx="10">
                  <c:v>0.49913648665731758</c:v>
                </c:pt>
                <c:pt idx="11">
                  <c:v>0.45243861789948192</c:v>
                </c:pt>
                <c:pt idx="12">
                  <c:v>0.40503842148947222</c:v>
                </c:pt>
                <c:pt idx="13">
                  <c:v>0.35693589742728882</c:v>
                </c:pt>
                <c:pt idx="14">
                  <c:v>0.30813104571293182</c:v>
                </c:pt>
                <c:pt idx="15">
                  <c:v>0.27947423130990434</c:v>
                </c:pt>
                <c:pt idx="16">
                  <c:v>0.25011508925470294</c:v>
                </c:pt>
                <c:pt idx="17">
                  <c:v>0.22504420778262157</c:v>
                </c:pt>
                <c:pt idx="18">
                  <c:v>0.1992709986583665</c:v>
                </c:pt>
                <c:pt idx="19">
                  <c:v>0.1727954618819374</c:v>
                </c:pt>
                <c:pt idx="20">
                  <c:v>0.15824285989834719</c:v>
                </c:pt>
                <c:pt idx="21">
                  <c:v>0.14468837556181591</c:v>
                </c:pt>
                <c:pt idx="22">
                  <c:v>0.13113389122528452</c:v>
                </c:pt>
                <c:pt idx="23">
                  <c:v>0.11757940688875312</c:v>
                </c:pt>
                <c:pt idx="24">
                  <c:v>0.10402492255222173</c:v>
                </c:pt>
                <c:pt idx="25">
                  <c:v>9.0470438215690563E-2</c:v>
                </c:pt>
                <c:pt idx="26">
                  <c:v>7.6915953879159282E-2</c:v>
                </c:pt>
                <c:pt idx="27">
                  <c:v>6.3361469542627891E-2</c:v>
                </c:pt>
                <c:pt idx="28">
                  <c:v>4.9806985206096388E-2</c:v>
                </c:pt>
                <c:pt idx="29">
                  <c:v>3.6252500869565107E-2</c:v>
                </c:pt>
              </c:numCache>
            </c:numRef>
          </c:val>
          <c:extLst>
            <c:ext xmlns:c16="http://schemas.microsoft.com/office/drawing/2014/chart" uri="{C3380CC4-5D6E-409C-BE32-E72D297353CC}">
              <c16:uniqueId val="{00000000-5E34-4B9C-8658-B0AFBA438964}"/>
            </c:ext>
          </c:extLst>
        </c:ser>
        <c:ser>
          <c:idx val="1"/>
          <c:order val="1"/>
          <c:tx>
            <c:strRef>
              <c:f>'Timing calculations'!$EE$10</c:f>
              <c:strCache>
                <c:ptCount val="1"/>
                <c:pt idx="0">
                  <c:v>100% BEV</c:v>
                </c:pt>
              </c:strCache>
            </c:strRef>
          </c:tx>
          <c:spPr>
            <a:solidFill>
              <a:srgbClr val="E6AF00"/>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calculations'!$EE$11:$EE$40</c:f>
              <c:numCache>
                <c:formatCode>0.0%</c:formatCode>
                <c:ptCount val="30"/>
                <c:pt idx="0">
                  <c:v>0</c:v>
                </c:pt>
                <c:pt idx="1">
                  <c:v>0</c:v>
                </c:pt>
                <c:pt idx="2">
                  <c:v>1.4715764405797138E-3</c:v>
                </c:pt>
                <c:pt idx="3">
                  <c:v>3.0836184115942133E-3</c:v>
                </c:pt>
                <c:pt idx="4">
                  <c:v>4.8361259130433876E-3</c:v>
                </c:pt>
                <c:pt idx="5">
                  <c:v>6.7290989449274585E-3</c:v>
                </c:pt>
                <c:pt idx="6">
                  <c:v>8.7625375072463152E-3</c:v>
                </c:pt>
                <c:pt idx="7">
                  <c:v>1.0936441599999958E-2</c:v>
                </c:pt>
                <c:pt idx="8">
                  <c:v>1.3250811223188386E-2</c:v>
                </c:pt>
                <c:pt idx="9">
                  <c:v>1.5705646376811599E-2</c:v>
                </c:pt>
                <c:pt idx="10">
                  <c:v>1.8300947060869488E-2</c:v>
                </c:pt>
                <c:pt idx="11">
                  <c:v>2.1036713275362273E-2</c:v>
                </c:pt>
                <c:pt idx="12">
                  <c:v>2.3912945020289844E-2</c:v>
                </c:pt>
                <c:pt idx="13">
                  <c:v>2.6929642295652201E-2</c:v>
                </c:pt>
                <c:pt idx="14">
                  <c:v>3.0086805101449288E-2</c:v>
                </c:pt>
                <c:pt idx="15">
                  <c:v>3.338443343768116E-2</c:v>
                </c:pt>
                <c:pt idx="16">
                  <c:v>3.6822527304347763E-2</c:v>
                </c:pt>
                <c:pt idx="17">
                  <c:v>4.0401086701449235E-2</c:v>
                </c:pt>
                <c:pt idx="18">
                  <c:v>4.4120111628985464E-2</c:v>
                </c:pt>
                <c:pt idx="19">
                  <c:v>4.7979602086956508E-2</c:v>
                </c:pt>
                <c:pt idx="20">
                  <c:v>4.9243791860869579E-2</c:v>
                </c:pt>
                <c:pt idx="21">
                  <c:v>5.0507981634782595E-2</c:v>
                </c:pt>
                <c:pt idx="22">
                  <c:v>5.1772171408695666E-2</c:v>
                </c:pt>
                <c:pt idx="23">
                  <c:v>5.3036361182608696E-2</c:v>
                </c:pt>
                <c:pt idx="24">
                  <c:v>5.430055095652174E-2</c:v>
                </c:pt>
                <c:pt idx="25">
                  <c:v>5.5564740730434783E-2</c:v>
                </c:pt>
                <c:pt idx="26">
                  <c:v>5.6828930504347827E-2</c:v>
                </c:pt>
                <c:pt idx="27">
                  <c:v>5.8093120278260857E-2</c:v>
                </c:pt>
                <c:pt idx="28">
                  <c:v>5.9357310052173928E-2</c:v>
                </c:pt>
                <c:pt idx="29">
                  <c:v>6.0621499826086958E-2</c:v>
                </c:pt>
              </c:numCache>
            </c:numRef>
          </c:val>
          <c:extLst>
            <c:ext xmlns:c16="http://schemas.microsoft.com/office/drawing/2014/chart" uri="{C3380CC4-5D6E-409C-BE32-E72D297353CC}">
              <c16:uniqueId val="{00000001-5E34-4B9C-8658-B0AFBA438964}"/>
            </c:ext>
          </c:extLst>
        </c:ser>
        <c:ser>
          <c:idx val="2"/>
          <c:order val="2"/>
          <c:tx>
            <c:strRef>
              <c:f>'Timing calculations'!$EF$10</c:f>
              <c:strCache>
                <c:ptCount val="1"/>
                <c:pt idx="0">
                  <c:v>80% BEV</c:v>
                </c:pt>
              </c:strCache>
            </c:strRef>
          </c:tx>
          <c:spPr>
            <a:solidFill>
              <a:srgbClr val="F2B800"/>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calculations'!$EF$11:$EF$40</c:f>
              <c:numCache>
                <c:formatCode>0.0%</c:formatCode>
                <c:ptCount val="30"/>
                <c:pt idx="0">
                  <c:v>0</c:v>
                </c:pt>
                <c:pt idx="1">
                  <c:v>0</c:v>
                </c:pt>
                <c:pt idx="2">
                  <c:v>1.4715764405797138E-3</c:v>
                </c:pt>
                <c:pt idx="3">
                  <c:v>3.0836184115942133E-3</c:v>
                </c:pt>
                <c:pt idx="4">
                  <c:v>4.8361259130433876E-3</c:v>
                </c:pt>
                <c:pt idx="5">
                  <c:v>6.7290989449274585E-3</c:v>
                </c:pt>
                <c:pt idx="6">
                  <c:v>8.7625375072464262E-3</c:v>
                </c:pt>
                <c:pt idx="7">
                  <c:v>1.0936441600000069E-2</c:v>
                </c:pt>
                <c:pt idx="8">
                  <c:v>1.3250811223188386E-2</c:v>
                </c:pt>
                <c:pt idx="9">
                  <c:v>1.5705646376811599E-2</c:v>
                </c:pt>
                <c:pt idx="10">
                  <c:v>1.8300947060869488E-2</c:v>
                </c:pt>
                <c:pt idx="11">
                  <c:v>2.1036713275362329E-2</c:v>
                </c:pt>
                <c:pt idx="12">
                  <c:v>2.3912945020289844E-2</c:v>
                </c:pt>
                <c:pt idx="13">
                  <c:v>2.6929642295652201E-2</c:v>
                </c:pt>
                <c:pt idx="14">
                  <c:v>3.0086805101449343E-2</c:v>
                </c:pt>
                <c:pt idx="15">
                  <c:v>3.338443343768116E-2</c:v>
                </c:pt>
                <c:pt idx="16">
                  <c:v>3.6822527304347819E-2</c:v>
                </c:pt>
                <c:pt idx="17">
                  <c:v>4.0401086701449263E-2</c:v>
                </c:pt>
                <c:pt idx="18">
                  <c:v>4.412011162898552E-2</c:v>
                </c:pt>
                <c:pt idx="19">
                  <c:v>4.7979602086956563E-2</c:v>
                </c:pt>
                <c:pt idx="20">
                  <c:v>4.9243791860869635E-2</c:v>
                </c:pt>
                <c:pt idx="21">
                  <c:v>5.050798163478265E-2</c:v>
                </c:pt>
                <c:pt idx="22">
                  <c:v>5.1772171408695722E-2</c:v>
                </c:pt>
                <c:pt idx="23">
                  <c:v>5.3036361182608738E-2</c:v>
                </c:pt>
                <c:pt idx="24">
                  <c:v>5.4300550956521809E-2</c:v>
                </c:pt>
                <c:pt idx="25">
                  <c:v>5.5564740730434825E-2</c:v>
                </c:pt>
                <c:pt idx="26">
                  <c:v>5.6828930504347897E-2</c:v>
                </c:pt>
                <c:pt idx="27">
                  <c:v>5.8093120278260926E-2</c:v>
                </c:pt>
                <c:pt idx="28">
                  <c:v>5.935731005217397E-2</c:v>
                </c:pt>
                <c:pt idx="29">
                  <c:v>6.0621499826087014E-2</c:v>
                </c:pt>
              </c:numCache>
            </c:numRef>
          </c:val>
          <c:extLst>
            <c:ext xmlns:c16="http://schemas.microsoft.com/office/drawing/2014/chart" uri="{C3380CC4-5D6E-409C-BE32-E72D297353CC}">
              <c16:uniqueId val="{00000002-5E34-4B9C-8658-B0AFBA438964}"/>
            </c:ext>
          </c:extLst>
        </c:ser>
        <c:ser>
          <c:idx val="3"/>
          <c:order val="3"/>
          <c:tx>
            <c:strRef>
              <c:f>'Timing calculations'!$EG$10</c:f>
              <c:strCache>
                <c:ptCount val="1"/>
                <c:pt idx="0">
                  <c:v>60% BEV</c:v>
                </c:pt>
              </c:strCache>
            </c:strRef>
          </c:tx>
          <c:spPr>
            <a:solidFill>
              <a:schemeClr val="accent4"/>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calculations'!$EG$11:$EG$40</c:f>
              <c:numCache>
                <c:formatCode>0.0%</c:formatCode>
                <c:ptCount val="30"/>
                <c:pt idx="0">
                  <c:v>0</c:v>
                </c:pt>
                <c:pt idx="1">
                  <c:v>0</c:v>
                </c:pt>
                <c:pt idx="2">
                  <c:v>1.4715764405797138E-3</c:v>
                </c:pt>
                <c:pt idx="3">
                  <c:v>3.0836184115942133E-3</c:v>
                </c:pt>
                <c:pt idx="4">
                  <c:v>4.8361259130433876E-3</c:v>
                </c:pt>
                <c:pt idx="5">
                  <c:v>6.7290989449274585E-3</c:v>
                </c:pt>
                <c:pt idx="6">
                  <c:v>8.7625375072463152E-3</c:v>
                </c:pt>
                <c:pt idx="7">
                  <c:v>1.0936441599999958E-2</c:v>
                </c:pt>
                <c:pt idx="8">
                  <c:v>1.3250811223188386E-2</c:v>
                </c:pt>
                <c:pt idx="9">
                  <c:v>1.5705646376811599E-2</c:v>
                </c:pt>
                <c:pt idx="10">
                  <c:v>1.8300947060869488E-2</c:v>
                </c:pt>
                <c:pt idx="11">
                  <c:v>2.1036713275362273E-2</c:v>
                </c:pt>
                <c:pt idx="12">
                  <c:v>2.3912945020289844E-2</c:v>
                </c:pt>
                <c:pt idx="13">
                  <c:v>2.6929642295652201E-2</c:v>
                </c:pt>
                <c:pt idx="14">
                  <c:v>3.0086805101449288E-2</c:v>
                </c:pt>
                <c:pt idx="15">
                  <c:v>3.338443343768116E-2</c:v>
                </c:pt>
                <c:pt idx="16">
                  <c:v>3.6822527304347874E-2</c:v>
                </c:pt>
                <c:pt idx="17">
                  <c:v>4.0401086701449263E-2</c:v>
                </c:pt>
                <c:pt idx="18">
                  <c:v>4.4120111628985492E-2</c:v>
                </c:pt>
                <c:pt idx="19">
                  <c:v>4.7979602086956508E-2</c:v>
                </c:pt>
                <c:pt idx="20">
                  <c:v>4.9243791860869579E-2</c:v>
                </c:pt>
                <c:pt idx="21">
                  <c:v>5.0507981634782595E-2</c:v>
                </c:pt>
                <c:pt idx="22">
                  <c:v>5.1772171408695666E-2</c:v>
                </c:pt>
                <c:pt idx="23">
                  <c:v>5.3036361182608682E-2</c:v>
                </c:pt>
                <c:pt idx="24">
                  <c:v>5.4300550956521754E-2</c:v>
                </c:pt>
                <c:pt idx="25">
                  <c:v>5.556474073043477E-2</c:v>
                </c:pt>
                <c:pt idx="26">
                  <c:v>5.6828930504347813E-2</c:v>
                </c:pt>
                <c:pt idx="27">
                  <c:v>5.8093120278260857E-2</c:v>
                </c:pt>
                <c:pt idx="28">
                  <c:v>5.9357310052173901E-2</c:v>
                </c:pt>
                <c:pt idx="29">
                  <c:v>6.0621499826086944E-2</c:v>
                </c:pt>
              </c:numCache>
            </c:numRef>
          </c:val>
          <c:extLst>
            <c:ext xmlns:c16="http://schemas.microsoft.com/office/drawing/2014/chart" uri="{C3380CC4-5D6E-409C-BE32-E72D297353CC}">
              <c16:uniqueId val="{00000003-5E34-4B9C-8658-B0AFBA438964}"/>
            </c:ext>
          </c:extLst>
        </c:ser>
        <c:ser>
          <c:idx val="4"/>
          <c:order val="4"/>
          <c:tx>
            <c:strRef>
              <c:f>'Timing calculations'!$EH$10</c:f>
              <c:strCache>
                <c:ptCount val="1"/>
                <c:pt idx="0">
                  <c:v>40%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calculations'!$EH$11:$EH$40</c:f>
              <c:numCache>
                <c:formatCode>0.0%</c:formatCode>
                <c:ptCount val="30"/>
                <c:pt idx="0">
                  <c:v>0</c:v>
                </c:pt>
                <c:pt idx="1">
                  <c:v>0</c:v>
                </c:pt>
                <c:pt idx="2">
                  <c:v>1.4715764405797138E-3</c:v>
                </c:pt>
                <c:pt idx="3">
                  <c:v>3.0836184115942133E-3</c:v>
                </c:pt>
                <c:pt idx="4">
                  <c:v>4.8361259130433876E-3</c:v>
                </c:pt>
                <c:pt idx="5">
                  <c:v>6.7290989449274585E-3</c:v>
                </c:pt>
                <c:pt idx="6">
                  <c:v>8.7625375072463152E-3</c:v>
                </c:pt>
                <c:pt idx="7">
                  <c:v>1.0936441600000069E-2</c:v>
                </c:pt>
                <c:pt idx="8">
                  <c:v>1.3250811223188497E-2</c:v>
                </c:pt>
                <c:pt idx="9">
                  <c:v>1.5705646376811599E-2</c:v>
                </c:pt>
                <c:pt idx="10">
                  <c:v>1.8300947060869488E-2</c:v>
                </c:pt>
                <c:pt idx="11">
                  <c:v>2.1036713275362273E-2</c:v>
                </c:pt>
                <c:pt idx="12">
                  <c:v>2.3912945020289844E-2</c:v>
                </c:pt>
                <c:pt idx="13">
                  <c:v>2.6929642295652201E-2</c:v>
                </c:pt>
                <c:pt idx="14">
                  <c:v>3.0086805101449343E-2</c:v>
                </c:pt>
                <c:pt idx="15">
                  <c:v>3.338443343768116E-2</c:v>
                </c:pt>
                <c:pt idx="16">
                  <c:v>3.6822527304347819E-2</c:v>
                </c:pt>
                <c:pt idx="17">
                  <c:v>4.0401086701449318E-2</c:v>
                </c:pt>
                <c:pt idx="18">
                  <c:v>4.4120111628985548E-2</c:v>
                </c:pt>
                <c:pt idx="19">
                  <c:v>4.7979602086956563E-2</c:v>
                </c:pt>
                <c:pt idx="20">
                  <c:v>4.9243791860869579E-2</c:v>
                </c:pt>
                <c:pt idx="21">
                  <c:v>5.050798163478265E-2</c:v>
                </c:pt>
                <c:pt idx="22">
                  <c:v>5.1772171408695666E-2</c:v>
                </c:pt>
                <c:pt idx="23">
                  <c:v>5.3036361182608738E-2</c:v>
                </c:pt>
                <c:pt idx="24">
                  <c:v>5.4300550956521754E-2</c:v>
                </c:pt>
                <c:pt idx="25">
                  <c:v>5.5564740730434825E-2</c:v>
                </c:pt>
                <c:pt idx="26">
                  <c:v>5.6828930504347869E-2</c:v>
                </c:pt>
                <c:pt idx="27">
                  <c:v>5.8093120278260912E-2</c:v>
                </c:pt>
                <c:pt idx="28">
                  <c:v>5.9357310052173956E-2</c:v>
                </c:pt>
                <c:pt idx="29">
                  <c:v>6.0621499826087E-2</c:v>
                </c:pt>
              </c:numCache>
            </c:numRef>
          </c:val>
          <c:extLst>
            <c:ext xmlns:c16="http://schemas.microsoft.com/office/drawing/2014/chart" uri="{C3380CC4-5D6E-409C-BE32-E72D297353CC}">
              <c16:uniqueId val="{00000004-5E34-4B9C-8658-B0AFBA438964}"/>
            </c:ext>
          </c:extLst>
        </c:ser>
        <c:ser>
          <c:idx val="5"/>
          <c:order val="5"/>
          <c:tx>
            <c:strRef>
              <c:f>'Timing calculations'!$EI$10</c:f>
              <c:strCache>
                <c:ptCount val="1"/>
                <c:pt idx="0">
                  <c:v>20% BEV</c:v>
                </c:pt>
              </c:strCache>
            </c:strRef>
          </c:tx>
          <c:spPr>
            <a:solidFill>
              <a:schemeClr val="accent4">
                <a:lumMod val="40000"/>
                <a:lumOff val="6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calculations'!$EI$11:$EI$40</c:f>
              <c:numCache>
                <c:formatCode>0.0%</c:formatCode>
                <c:ptCount val="30"/>
                <c:pt idx="0">
                  <c:v>0</c:v>
                </c:pt>
                <c:pt idx="1">
                  <c:v>0</c:v>
                </c:pt>
                <c:pt idx="2">
                  <c:v>7.0806273009382803E-4</c:v>
                </c:pt>
                <c:pt idx="3">
                  <c:v>1.4863582254049934E-3</c:v>
                </c:pt>
                <c:pt idx="4">
                  <c:v>2.3348864859334961E-3</c:v>
                </c:pt>
                <c:pt idx="5">
                  <c:v>3.2536475116794472E-3</c:v>
                </c:pt>
                <c:pt idx="6">
                  <c:v>4.2426413026428467E-3</c:v>
                </c:pt>
                <c:pt idx="7">
                  <c:v>5.3018678588235835E-3</c:v>
                </c:pt>
                <c:pt idx="8">
                  <c:v>6.4313271802216576E-3</c:v>
                </c:pt>
                <c:pt idx="9">
                  <c:v>7.6310192668371801E-3</c:v>
                </c:pt>
                <c:pt idx="10">
                  <c:v>8.900944118670151E-3</c:v>
                </c:pt>
                <c:pt idx="11">
                  <c:v>1.0241101735720459E-2</c:v>
                </c:pt>
                <c:pt idx="12">
                  <c:v>1.1651492117988105E-2</c:v>
                </c:pt>
                <c:pt idx="13">
                  <c:v>1.3132115265473199E-2</c:v>
                </c:pt>
                <c:pt idx="14">
                  <c:v>1.468297117817563E-2</c:v>
                </c:pt>
                <c:pt idx="15">
                  <c:v>1.630405985609551E-2</c:v>
                </c:pt>
                <c:pt idx="16">
                  <c:v>1.7995381299232782E-2</c:v>
                </c:pt>
                <c:pt idx="17">
                  <c:v>1.9756935507587392E-2</c:v>
                </c:pt>
                <c:pt idx="18">
                  <c:v>2.158872248115945E-2</c:v>
                </c:pt>
                <c:pt idx="19">
                  <c:v>2.3490742219948901E-2</c:v>
                </c:pt>
                <c:pt idx="20">
                  <c:v>2.462189593043479E-2</c:v>
                </c:pt>
                <c:pt idx="21">
                  <c:v>2.5253990817391325E-2</c:v>
                </c:pt>
                <c:pt idx="22">
                  <c:v>2.5886085704347861E-2</c:v>
                </c:pt>
                <c:pt idx="23">
                  <c:v>2.6518180591304397E-2</c:v>
                </c:pt>
                <c:pt idx="24">
                  <c:v>2.7150275478260877E-2</c:v>
                </c:pt>
                <c:pt idx="25">
                  <c:v>2.7782370365217413E-2</c:v>
                </c:pt>
                <c:pt idx="26">
                  <c:v>2.8414465252173948E-2</c:v>
                </c:pt>
                <c:pt idx="27">
                  <c:v>2.9046560139130484E-2</c:v>
                </c:pt>
                <c:pt idx="28">
                  <c:v>2.9678655026086964E-2</c:v>
                </c:pt>
                <c:pt idx="29">
                  <c:v>3.03107499130435E-2</c:v>
                </c:pt>
              </c:numCache>
            </c:numRef>
          </c:val>
          <c:extLst>
            <c:ext xmlns:c16="http://schemas.microsoft.com/office/drawing/2014/chart" uri="{C3380CC4-5D6E-409C-BE32-E72D297353CC}">
              <c16:uniqueId val="{00000005-5E34-4B9C-8658-B0AFBA438964}"/>
            </c:ext>
          </c:extLst>
        </c:ser>
        <c:ser>
          <c:idx val="6"/>
          <c:order val="6"/>
          <c:tx>
            <c:strRef>
              <c:f>'Timing calculations'!$EJ$10</c:f>
              <c:strCache>
                <c:ptCount val="1"/>
                <c:pt idx="0">
                  <c:v>10% BEV</c:v>
                </c:pt>
              </c:strCache>
            </c:strRef>
          </c:tx>
          <c:spPr>
            <a:solidFill>
              <a:schemeClr val="accent4">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calculations'!$EJ$11:$EJ$40</c:f>
              <c:numCache>
                <c:formatCode>0.0%</c:formatCode>
                <c:ptCount val="30"/>
                <c:pt idx="0">
                  <c:v>0</c:v>
                </c:pt>
                <c:pt idx="1">
                  <c:v>0</c:v>
                </c:pt>
                <c:pt idx="2">
                  <c:v>7.0806273009382803E-4</c:v>
                </c:pt>
                <c:pt idx="3">
                  <c:v>1.4863582254049934E-3</c:v>
                </c:pt>
                <c:pt idx="4">
                  <c:v>2.3348864859334961E-3</c:v>
                </c:pt>
                <c:pt idx="5">
                  <c:v>3.2536475116794472E-3</c:v>
                </c:pt>
                <c:pt idx="6">
                  <c:v>4.2426413026428467E-3</c:v>
                </c:pt>
                <c:pt idx="7">
                  <c:v>5.3018678588235835E-3</c:v>
                </c:pt>
                <c:pt idx="8">
                  <c:v>6.4313271802216576E-3</c:v>
                </c:pt>
                <c:pt idx="9">
                  <c:v>7.6310192668371801E-3</c:v>
                </c:pt>
                <c:pt idx="10">
                  <c:v>8.900944118670151E-3</c:v>
                </c:pt>
                <c:pt idx="11">
                  <c:v>1.0241101735720348E-2</c:v>
                </c:pt>
                <c:pt idx="12">
                  <c:v>1.1651492117988105E-2</c:v>
                </c:pt>
                <c:pt idx="13">
                  <c:v>1.3132115265473143E-2</c:v>
                </c:pt>
                <c:pt idx="14">
                  <c:v>1.4682971178175575E-2</c:v>
                </c:pt>
                <c:pt idx="15">
                  <c:v>1.6304059856095454E-2</c:v>
                </c:pt>
                <c:pt idx="16">
                  <c:v>1.7995381299232727E-2</c:v>
                </c:pt>
                <c:pt idx="17">
                  <c:v>1.9756935507587392E-2</c:v>
                </c:pt>
                <c:pt idx="18">
                  <c:v>2.1588722481159395E-2</c:v>
                </c:pt>
                <c:pt idx="19">
                  <c:v>2.3490742219948846E-2</c:v>
                </c:pt>
                <c:pt idx="20">
                  <c:v>2.462189593043479E-2</c:v>
                </c:pt>
                <c:pt idx="21">
                  <c:v>2.525399081739127E-2</c:v>
                </c:pt>
                <c:pt idx="22">
                  <c:v>2.5886085704347805E-2</c:v>
                </c:pt>
                <c:pt idx="23">
                  <c:v>2.6518180591304341E-2</c:v>
                </c:pt>
                <c:pt idx="24">
                  <c:v>2.7150275478260877E-2</c:v>
                </c:pt>
                <c:pt idx="25">
                  <c:v>2.7782370365217357E-2</c:v>
                </c:pt>
                <c:pt idx="26">
                  <c:v>2.8414465252173893E-2</c:v>
                </c:pt>
                <c:pt idx="27">
                  <c:v>2.9046560139130428E-2</c:v>
                </c:pt>
                <c:pt idx="28">
                  <c:v>2.9678655026086964E-2</c:v>
                </c:pt>
                <c:pt idx="29">
                  <c:v>3.0310749913043444E-2</c:v>
                </c:pt>
              </c:numCache>
            </c:numRef>
          </c:val>
          <c:extLst>
            <c:ext xmlns:c16="http://schemas.microsoft.com/office/drawing/2014/chart" uri="{C3380CC4-5D6E-409C-BE32-E72D297353CC}">
              <c16:uniqueId val="{00000006-5E34-4B9C-8658-B0AFBA438964}"/>
            </c:ext>
          </c:extLst>
        </c:ser>
        <c:ser>
          <c:idx val="7"/>
          <c:order val="7"/>
          <c:tx>
            <c:strRef>
              <c:f>'Timing calculations'!$EK$10</c:f>
              <c:strCache>
                <c:ptCount val="1"/>
                <c:pt idx="0">
                  <c:v>ICE fuel efficiency@0%BEV</c:v>
                </c:pt>
              </c:strCache>
            </c:strRef>
          </c:tx>
          <c:spPr>
            <a:solidFill>
              <a:schemeClr val="accent1">
                <a:lumMod val="20000"/>
                <a:lumOff val="8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calculations'!$EK$11:$EK$40</c:f>
              <c:numCache>
                <c:formatCode>0.0%</c:formatCode>
                <c:ptCount val="30"/>
                <c:pt idx="0">
                  <c:v>4.99058823529408E-3</c:v>
                </c:pt>
                <c:pt idx="1">
                  <c:v>9.9811764705882711E-3</c:v>
                </c:pt>
                <c:pt idx="2">
                  <c:v>1.4971764705882351E-2</c:v>
                </c:pt>
                <c:pt idx="3">
                  <c:v>1.9962352941176431E-2</c:v>
                </c:pt>
                <c:pt idx="4">
                  <c:v>2.4952941176470622E-2</c:v>
                </c:pt>
                <c:pt idx="5">
                  <c:v>2.9943529411764702E-2</c:v>
                </c:pt>
                <c:pt idx="6">
                  <c:v>3.4934117647058782E-2</c:v>
                </c:pt>
                <c:pt idx="7">
                  <c:v>3.9924705882352973E-2</c:v>
                </c:pt>
                <c:pt idx="8">
                  <c:v>4.4915294117647053E-2</c:v>
                </c:pt>
                <c:pt idx="9">
                  <c:v>4.9905882352941133E-2</c:v>
                </c:pt>
                <c:pt idx="10">
                  <c:v>5.4896470588235213E-2</c:v>
                </c:pt>
                <c:pt idx="11">
                  <c:v>5.9887058823529404E-2</c:v>
                </c:pt>
                <c:pt idx="12">
                  <c:v>6.4877647058823484E-2</c:v>
                </c:pt>
                <c:pt idx="13">
                  <c:v>6.986823529411762E-2</c:v>
                </c:pt>
                <c:pt idx="14">
                  <c:v>7.4858823529411755E-2</c:v>
                </c:pt>
                <c:pt idx="15">
                  <c:v>7.9849411764705835E-2</c:v>
                </c:pt>
                <c:pt idx="16">
                  <c:v>8.4839999999999971E-2</c:v>
                </c:pt>
                <c:pt idx="17">
                  <c:v>8.4839999999999971E-2</c:v>
                </c:pt>
                <c:pt idx="18">
                  <c:v>8.4839999999999971E-2</c:v>
                </c:pt>
                <c:pt idx="19">
                  <c:v>8.4839999999999971E-2</c:v>
                </c:pt>
                <c:pt idx="20">
                  <c:v>8.4839999999999971E-2</c:v>
                </c:pt>
                <c:pt idx="21">
                  <c:v>8.4839999999999971E-2</c:v>
                </c:pt>
                <c:pt idx="22">
                  <c:v>8.4839999999999971E-2</c:v>
                </c:pt>
                <c:pt idx="23">
                  <c:v>8.4839999999999971E-2</c:v>
                </c:pt>
                <c:pt idx="24">
                  <c:v>8.4839999999999971E-2</c:v>
                </c:pt>
                <c:pt idx="25">
                  <c:v>8.4839999999999971E-2</c:v>
                </c:pt>
                <c:pt idx="26">
                  <c:v>8.4839999999999971E-2</c:v>
                </c:pt>
                <c:pt idx="27">
                  <c:v>8.4839999999999971E-2</c:v>
                </c:pt>
                <c:pt idx="28">
                  <c:v>8.4839999999999971E-2</c:v>
                </c:pt>
                <c:pt idx="29">
                  <c:v>8.4839999999999971E-2</c:v>
                </c:pt>
              </c:numCache>
            </c:numRef>
          </c:val>
          <c:extLst>
            <c:ext xmlns:c16="http://schemas.microsoft.com/office/drawing/2014/chart" uri="{C3380CC4-5D6E-409C-BE32-E72D297353CC}">
              <c16:uniqueId val="{00000007-5E34-4B9C-8658-B0AFBA438964}"/>
            </c:ext>
          </c:extLst>
        </c:ser>
        <c:ser>
          <c:idx val="8"/>
          <c:order val="8"/>
          <c:tx>
            <c:strRef>
              <c:f>'Timing calculations'!$EL$10</c:f>
              <c:strCache>
                <c:ptCount val="1"/>
                <c:pt idx="0">
                  <c:v>Car to PT / Carpool</c:v>
                </c:pt>
              </c:strCache>
            </c:strRef>
          </c:tx>
          <c:spPr>
            <a:solidFill>
              <a:schemeClr val="accent6">
                <a:lumMod val="75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calculations'!$EL$11:$EL$40</c:f>
              <c:numCache>
                <c:formatCode>0.0%</c:formatCode>
                <c:ptCount val="30"/>
                <c:pt idx="0">
                  <c:v>1.6350364963503616E-2</c:v>
                </c:pt>
                <c:pt idx="1">
                  <c:v>3.2700729927007344E-2</c:v>
                </c:pt>
                <c:pt idx="2">
                  <c:v>4.905109489051096E-2</c:v>
                </c:pt>
                <c:pt idx="3">
                  <c:v>6.5401459854014576E-2</c:v>
                </c:pt>
                <c:pt idx="4">
                  <c:v>8.1751824817518304E-2</c:v>
                </c:pt>
                <c:pt idx="5">
                  <c:v>9.810218978102192E-2</c:v>
                </c:pt>
                <c:pt idx="6">
                  <c:v>0.11445255474452554</c:v>
                </c:pt>
                <c:pt idx="7">
                  <c:v>0.13080291970802915</c:v>
                </c:pt>
                <c:pt idx="8">
                  <c:v>0.14715328467153277</c:v>
                </c:pt>
                <c:pt idx="9">
                  <c:v>0.1635036496350365</c:v>
                </c:pt>
                <c:pt idx="10">
                  <c:v>0.17985401459854011</c:v>
                </c:pt>
                <c:pt idx="11">
                  <c:v>0.19620437956204373</c:v>
                </c:pt>
                <c:pt idx="12">
                  <c:v>0.21255474452554746</c:v>
                </c:pt>
                <c:pt idx="13">
                  <c:v>0.22890510948905107</c:v>
                </c:pt>
                <c:pt idx="14">
                  <c:v>0.24525547445255469</c:v>
                </c:pt>
                <c:pt idx="15">
                  <c:v>0.24525547445255469</c:v>
                </c:pt>
                <c:pt idx="16">
                  <c:v>0.24525547445255469</c:v>
                </c:pt>
                <c:pt idx="17">
                  <c:v>0.2452554744525548</c:v>
                </c:pt>
                <c:pt idx="18">
                  <c:v>0.2452554744525548</c:v>
                </c:pt>
                <c:pt idx="19">
                  <c:v>0.24525547445255474</c:v>
                </c:pt>
                <c:pt idx="20">
                  <c:v>0.24525547445255474</c:v>
                </c:pt>
                <c:pt idx="21">
                  <c:v>0.24525547445255474</c:v>
                </c:pt>
                <c:pt idx="22">
                  <c:v>0.24525547445255474</c:v>
                </c:pt>
                <c:pt idx="23">
                  <c:v>0.24525547445255474</c:v>
                </c:pt>
                <c:pt idx="24">
                  <c:v>0.24525547445255474</c:v>
                </c:pt>
                <c:pt idx="25">
                  <c:v>0.24525547445255474</c:v>
                </c:pt>
                <c:pt idx="26">
                  <c:v>0.24525547445255474</c:v>
                </c:pt>
                <c:pt idx="27">
                  <c:v>0.24525547445255474</c:v>
                </c:pt>
                <c:pt idx="28">
                  <c:v>0.24525547445255474</c:v>
                </c:pt>
                <c:pt idx="29">
                  <c:v>0.24525547445255474</c:v>
                </c:pt>
              </c:numCache>
            </c:numRef>
          </c:val>
          <c:extLst>
            <c:ext xmlns:c16="http://schemas.microsoft.com/office/drawing/2014/chart" uri="{C3380CC4-5D6E-409C-BE32-E72D297353CC}">
              <c16:uniqueId val="{00000008-5E34-4B9C-8658-B0AFBA438964}"/>
            </c:ext>
          </c:extLst>
        </c:ser>
        <c:ser>
          <c:idx val="9"/>
          <c:order val="9"/>
          <c:tx>
            <c:strRef>
              <c:f>'Timing calculations'!$EM$10</c:f>
              <c:strCache>
                <c:ptCount val="1"/>
                <c:pt idx="0">
                  <c:v>Car to Cycle / PT</c:v>
                </c:pt>
              </c:strCache>
            </c:strRef>
          </c:tx>
          <c:spPr>
            <a:solidFill>
              <a:schemeClr val="accent6">
                <a:lumMod val="60000"/>
                <a:lumOff val="40000"/>
              </a:schemeClr>
            </a:solidFill>
            <a:ln>
              <a:noFill/>
            </a:ln>
            <a:effectLst/>
          </c:spPr>
          <c:dLbls>
            <c:dLbl>
              <c:idx val="0"/>
              <c:layout>
                <c:manualLayout>
                  <c:x val="0.10158141983484476"/>
                  <c:y val="1.389645716936826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5E34-4B9C-8658-B0AFBA4389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calculations'!$EM$11:$EM$40</c:f>
              <c:numCache>
                <c:formatCode>0.0%</c:formatCode>
                <c:ptCount val="30"/>
                <c:pt idx="0">
                  <c:v>3.4793187347932353E-3</c:v>
                </c:pt>
                <c:pt idx="1">
                  <c:v>6.9586374695863595E-3</c:v>
                </c:pt>
                <c:pt idx="2">
                  <c:v>1.0437956204379595E-2</c:v>
                </c:pt>
                <c:pt idx="3">
                  <c:v>1.3917274939172719E-2</c:v>
                </c:pt>
                <c:pt idx="4">
                  <c:v>1.7396593673965954E-2</c:v>
                </c:pt>
                <c:pt idx="5">
                  <c:v>2.0875912408759079E-2</c:v>
                </c:pt>
                <c:pt idx="6">
                  <c:v>2.4355231143552314E-2</c:v>
                </c:pt>
                <c:pt idx="7">
                  <c:v>2.7834549878345549E-2</c:v>
                </c:pt>
                <c:pt idx="8">
                  <c:v>3.1313868613138673E-2</c:v>
                </c:pt>
                <c:pt idx="9">
                  <c:v>3.4793187347931909E-2</c:v>
                </c:pt>
                <c:pt idx="10">
                  <c:v>3.8272506082725033E-2</c:v>
                </c:pt>
                <c:pt idx="11">
                  <c:v>4.1751824817518268E-2</c:v>
                </c:pt>
                <c:pt idx="12">
                  <c:v>4.5231143552311392E-2</c:v>
                </c:pt>
                <c:pt idx="13">
                  <c:v>4.8710462287104628E-2</c:v>
                </c:pt>
                <c:pt idx="14">
                  <c:v>5.2189781021897752E-2</c:v>
                </c:pt>
                <c:pt idx="15">
                  <c:v>5.5669099756690987E-2</c:v>
                </c:pt>
                <c:pt idx="16">
                  <c:v>5.9148418491484223E-2</c:v>
                </c:pt>
                <c:pt idx="17">
                  <c:v>6.2627737226277347E-2</c:v>
                </c:pt>
                <c:pt idx="18">
                  <c:v>6.6107055961070582E-2</c:v>
                </c:pt>
                <c:pt idx="19">
                  <c:v>6.9586374695863817E-2</c:v>
                </c:pt>
                <c:pt idx="20">
                  <c:v>7.3065693430656942E-2</c:v>
                </c:pt>
                <c:pt idx="21">
                  <c:v>7.6545012165450177E-2</c:v>
                </c:pt>
                <c:pt idx="22">
                  <c:v>8.0024330900243301E-2</c:v>
                </c:pt>
                <c:pt idx="23">
                  <c:v>8.3503649635036536E-2</c:v>
                </c:pt>
                <c:pt idx="24">
                  <c:v>8.6982968369829772E-2</c:v>
                </c:pt>
                <c:pt idx="25">
                  <c:v>9.0462287104622896E-2</c:v>
                </c:pt>
                <c:pt idx="26">
                  <c:v>9.3941605839416131E-2</c:v>
                </c:pt>
                <c:pt idx="27">
                  <c:v>9.7420924574209256E-2</c:v>
                </c:pt>
                <c:pt idx="28">
                  <c:v>0.10090024330900249</c:v>
                </c:pt>
                <c:pt idx="29">
                  <c:v>0.10437956204379573</c:v>
                </c:pt>
              </c:numCache>
            </c:numRef>
          </c:val>
          <c:extLst>
            <c:ext xmlns:c16="http://schemas.microsoft.com/office/drawing/2014/chart" uri="{C3380CC4-5D6E-409C-BE32-E72D297353CC}">
              <c16:uniqueId val="{0000000A-5E34-4B9C-8658-B0AFBA438964}"/>
            </c:ext>
          </c:extLst>
        </c:ser>
        <c:ser>
          <c:idx val="10"/>
          <c:order val="10"/>
          <c:tx>
            <c:strRef>
              <c:f>'Timing calculations'!$EN$10</c:f>
              <c:strCache>
                <c:ptCount val="1"/>
                <c:pt idx="0">
                  <c:v>Car to Walk / Cycle</c:v>
                </c:pt>
              </c:strCache>
            </c:strRef>
          </c:tx>
          <c:spPr>
            <a:solidFill>
              <a:schemeClr val="accent6">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calculations'!$EN$11:$EN$40</c:f>
              <c:numCache>
                <c:formatCode>0.0%</c:formatCode>
                <c:ptCount val="30"/>
                <c:pt idx="0">
                  <c:v>1.6788321167883202E-3</c:v>
                </c:pt>
                <c:pt idx="1">
                  <c:v>3.3576642335766405E-3</c:v>
                </c:pt>
                <c:pt idx="2">
                  <c:v>5.0364963503649607E-3</c:v>
                </c:pt>
                <c:pt idx="3">
                  <c:v>6.7153284671532809E-3</c:v>
                </c:pt>
                <c:pt idx="4">
                  <c:v>8.3941605839416011E-3</c:v>
                </c:pt>
                <c:pt idx="5">
                  <c:v>1.0072992700729921E-2</c:v>
                </c:pt>
                <c:pt idx="6">
                  <c:v>1.1751824817518242E-2</c:v>
                </c:pt>
                <c:pt idx="7">
                  <c:v>1.3430656934306562E-2</c:v>
                </c:pt>
                <c:pt idx="8">
                  <c:v>1.5109489051094882E-2</c:v>
                </c:pt>
                <c:pt idx="9">
                  <c:v>1.6788321167883202E-2</c:v>
                </c:pt>
                <c:pt idx="10">
                  <c:v>1.8467153284671523E-2</c:v>
                </c:pt>
                <c:pt idx="11">
                  <c:v>2.0145985401459843E-2</c:v>
                </c:pt>
                <c:pt idx="12">
                  <c:v>2.1824817518248163E-2</c:v>
                </c:pt>
                <c:pt idx="13">
                  <c:v>2.3503649635036483E-2</c:v>
                </c:pt>
                <c:pt idx="14">
                  <c:v>2.5182481751824803E-2</c:v>
                </c:pt>
                <c:pt idx="15">
                  <c:v>2.6861313868613124E-2</c:v>
                </c:pt>
                <c:pt idx="16">
                  <c:v>2.8540145985401444E-2</c:v>
                </c:pt>
                <c:pt idx="17">
                  <c:v>3.0218978102189764E-2</c:v>
                </c:pt>
                <c:pt idx="18">
                  <c:v>3.1897810218978084E-2</c:v>
                </c:pt>
                <c:pt idx="19">
                  <c:v>3.3576642335766405E-2</c:v>
                </c:pt>
                <c:pt idx="20">
                  <c:v>3.5255474452554725E-2</c:v>
                </c:pt>
                <c:pt idx="21">
                  <c:v>3.6934306569343045E-2</c:v>
                </c:pt>
                <c:pt idx="22">
                  <c:v>3.8613138686131365E-2</c:v>
                </c:pt>
                <c:pt idx="23">
                  <c:v>4.0291970802919685E-2</c:v>
                </c:pt>
                <c:pt idx="24">
                  <c:v>4.1970802919708006E-2</c:v>
                </c:pt>
                <c:pt idx="25">
                  <c:v>4.3649635036496326E-2</c:v>
                </c:pt>
                <c:pt idx="26">
                  <c:v>4.5328467153284646E-2</c:v>
                </c:pt>
                <c:pt idx="27">
                  <c:v>4.7007299270072966E-2</c:v>
                </c:pt>
                <c:pt idx="28">
                  <c:v>4.8686131386861287E-2</c:v>
                </c:pt>
                <c:pt idx="29">
                  <c:v>5.0364963503649607E-2</c:v>
                </c:pt>
              </c:numCache>
            </c:numRef>
          </c:val>
          <c:extLst>
            <c:ext xmlns:c16="http://schemas.microsoft.com/office/drawing/2014/chart" uri="{C3380CC4-5D6E-409C-BE32-E72D297353CC}">
              <c16:uniqueId val="{0000000B-5E34-4B9C-8658-B0AFBA438964}"/>
            </c:ext>
          </c:extLst>
        </c:ser>
        <c:ser>
          <c:idx val="11"/>
          <c:order val="11"/>
          <c:tx>
            <c:strRef>
              <c:f>'Timing calculations'!$EO$10</c:f>
              <c:strCache>
                <c:ptCount val="1"/>
                <c:pt idx="0">
                  <c:v>Localisation</c:v>
                </c:pt>
              </c:strCache>
            </c:strRef>
          </c:tx>
          <c:spPr>
            <a:solidFill>
              <a:schemeClr val="accent2"/>
            </a:solidFill>
            <a:ln>
              <a:noFill/>
            </a:ln>
            <a:effectLst/>
          </c:spPr>
          <c:dLbls>
            <c:dLbl>
              <c:idx val="0"/>
              <c:layout>
                <c:manualLayout>
                  <c:x val="0.26616610367873317"/>
                  <c:y val="1.621253336426296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5E34-4B9C-8658-B0AFBA4389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calculations'!$EO$11:$EO$40</c:f>
              <c:numCache>
                <c:formatCode>0.0%</c:formatCode>
                <c:ptCount val="30"/>
                <c:pt idx="0">
                  <c:v>4.4999999999999485E-3</c:v>
                </c:pt>
                <c:pt idx="1">
                  <c:v>9.000000000000008E-3</c:v>
                </c:pt>
                <c:pt idx="2">
                  <c:v>1.3499999999999956E-2</c:v>
                </c:pt>
                <c:pt idx="3">
                  <c:v>1.8000000000000016E-2</c:v>
                </c:pt>
                <c:pt idx="4">
                  <c:v>2.2499999999999964E-2</c:v>
                </c:pt>
                <c:pt idx="5">
                  <c:v>2.7000000000000024E-2</c:v>
                </c:pt>
                <c:pt idx="6">
                  <c:v>3.1499999999999972E-2</c:v>
                </c:pt>
                <c:pt idx="7">
                  <c:v>3.6000000000000032E-2</c:v>
                </c:pt>
                <c:pt idx="8">
                  <c:v>4.049999999999998E-2</c:v>
                </c:pt>
                <c:pt idx="9">
                  <c:v>4.500000000000004E-2</c:v>
                </c:pt>
                <c:pt idx="10">
                  <c:v>4.9499999999999988E-2</c:v>
                </c:pt>
                <c:pt idx="11">
                  <c:v>5.4000000000000048E-2</c:v>
                </c:pt>
                <c:pt idx="12">
                  <c:v>5.8499999999999996E-2</c:v>
                </c:pt>
                <c:pt idx="13">
                  <c:v>6.3000000000000056E-2</c:v>
                </c:pt>
                <c:pt idx="14">
                  <c:v>6.7500000000000004E-2</c:v>
                </c:pt>
                <c:pt idx="15">
                  <c:v>6.7500000000000004E-2</c:v>
                </c:pt>
                <c:pt idx="16">
                  <c:v>6.7500000000000004E-2</c:v>
                </c:pt>
                <c:pt idx="17">
                  <c:v>6.7500000000000004E-2</c:v>
                </c:pt>
                <c:pt idx="18">
                  <c:v>6.7500000000000004E-2</c:v>
                </c:pt>
                <c:pt idx="19">
                  <c:v>6.7500000000000004E-2</c:v>
                </c:pt>
                <c:pt idx="20">
                  <c:v>6.7500000000000004E-2</c:v>
                </c:pt>
                <c:pt idx="21">
                  <c:v>6.7500000000000004E-2</c:v>
                </c:pt>
                <c:pt idx="22">
                  <c:v>6.7500000000000004E-2</c:v>
                </c:pt>
                <c:pt idx="23">
                  <c:v>6.7500000000000004E-2</c:v>
                </c:pt>
                <c:pt idx="24">
                  <c:v>6.7500000000000004E-2</c:v>
                </c:pt>
                <c:pt idx="25">
                  <c:v>6.7500000000000004E-2</c:v>
                </c:pt>
                <c:pt idx="26">
                  <c:v>6.7500000000000004E-2</c:v>
                </c:pt>
                <c:pt idx="27">
                  <c:v>6.7500000000000004E-2</c:v>
                </c:pt>
                <c:pt idx="28">
                  <c:v>6.7500000000000004E-2</c:v>
                </c:pt>
                <c:pt idx="29">
                  <c:v>6.7500000000000004E-2</c:v>
                </c:pt>
              </c:numCache>
            </c:numRef>
          </c:val>
          <c:extLst>
            <c:ext xmlns:c16="http://schemas.microsoft.com/office/drawing/2014/chart" uri="{C3380CC4-5D6E-409C-BE32-E72D297353CC}">
              <c16:uniqueId val="{0000000D-5E34-4B9C-8658-B0AFBA438964}"/>
            </c:ext>
          </c:extLst>
        </c:ser>
        <c:ser>
          <c:idx val="12"/>
          <c:order val="12"/>
          <c:tx>
            <c:strRef>
              <c:f>'Timing calculations'!$EP$10</c:f>
              <c:strCache>
                <c:ptCount val="1"/>
                <c:pt idx="0">
                  <c:v>Home delivery</c:v>
                </c:pt>
              </c:strCache>
            </c:strRef>
          </c:tx>
          <c:spPr>
            <a:solidFill>
              <a:schemeClr val="accent2">
                <a:lumMod val="60000"/>
                <a:lumOff val="40000"/>
              </a:schemeClr>
            </a:solidFill>
            <a:ln>
              <a:noFill/>
            </a:ln>
            <a:effectLst/>
          </c:spPr>
          <c:dLbls>
            <c:dLbl>
              <c:idx val="0"/>
              <c:layout>
                <c:manualLayout>
                  <c:x val="0.20316780845782267"/>
                  <c:y val="2.334860119939920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5E34-4B9C-8658-B0AFBA4389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calculations'!$EP$11:$EP$40</c:f>
              <c:numCache>
                <c:formatCode>0.0%</c:formatCode>
                <c:ptCount val="30"/>
                <c:pt idx="0">
                  <c:v>0</c:v>
                </c:pt>
                <c:pt idx="1">
                  <c:v>0</c:v>
                </c:pt>
                <c:pt idx="2">
                  <c:v>0</c:v>
                </c:pt>
                <c:pt idx="3">
                  <c:v>0</c:v>
                </c:pt>
                <c:pt idx="4">
                  <c:v>8.6538461538465672E-4</c:v>
                </c:pt>
                <c:pt idx="5">
                  <c:v>1.7307692307692024E-3</c:v>
                </c:pt>
                <c:pt idx="6">
                  <c:v>2.5961538461538591E-3</c:v>
                </c:pt>
                <c:pt idx="7">
                  <c:v>3.4615384615385159E-3</c:v>
                </c:pt>
                <c:pt idx="8">
                  <c:v>4.3269230769230616E-3</c:v>
                </c:pt>
                <c:pt idx="9">
                  <c:v>5.1923076923077183E-3</c:v>
                </c:pt>
                <c:pt idx="10">
                  <c:v>6.057692307692264E-3</c:v>
                </c:pt>
                <c:pt idx="11">
                  <c:v>6.9230769230769207E-3</c:v>
                </c:pt>
                <c:pt idx="12">
                  <c:v>7.7884615384615774E-3</c:v>
                </c:pt>
                <c:pt idx="13">
                  <c:v>8.6538461538461231E-3</c:v>
                </c:pt>
                <c:pt idx="14">
                  <c:v>9.5192307692307798E-3</c:v>
                </c:pt>
                <c:pt idx="15">
                  <c:v>1.0384615384615437E-2</c:v>
                </c:pt>
                <c:pt idx="16">
                  <c:v>1.1249999999999982E-2</c:v>
                </c:pt>
                <c:pt idx="17">
                  <c:v>1.2115384615384639E-2</c:v>
                </c:pt>
                <c:pt idx="18">
                  <c:v>1.2980769230769185E-2</c:v>
                </c:pt>
                <c:pt idx="19">
                  <c:v>1.3846153846153841E-2</c:v>
                </c:pt>
                <c:pt idx="20">
                  <c:v>1.4711538461538498E-2</c:v>
                </c:pt>
                <c:pt idx="21">
                  <c:v>1.5576923076923044E-2</c:v>
                </c:pt>
                <c:pt idx="22">
                  <c:v>1.6442307692307701E-2</c:v>
                </c:pt>
                <c:pt idx="23">
                  <c:v>1.7307692307692357E-2</c:v>
                </c:pt>
                <c:pt idx="24">
                  <c:v>1.8173076923076903E-2</c:v>
                </c:pt>
                <c:pt idx="25">
                  <c:v>1.903846153846156E-2</c:v>
                </c:pt>
                <c:pt idx="26">
                  <c:v>1.9903846153846105E-2</c:v>
                </c:pt>
                <c:pt idx="27">
                  <c:v>2.0769230769230762E-2</c:v>
                </c:pt>
                <c:pt idx="28">
                  <c:v>2.1634615384615419E-2</c:v>
                </c:pt>
                <c:pt idx="29">
                  <c:v>2.2499999999999964E-2</c:v>
                </c:pt>
              </c:numCache>
            </c:numRef>
          </c:val>
          <c:extLst>
            <c:ext xmlns:c16="http://schemas.microsoft.com/office/drawing/2014/chart" uri="{C3380CC4-5D6E-409C-BE32-E72D297353CC}">
              <c16:uniqueId val="{0000000F-5E34-4B9C-8658-B0AFBA438964}"/>
            </c:ext>
          </c:extLst>
        </c:ser>
        <c:ser>
          <c:idx val="13"/>
          <c:order val="13"/>
          <c:tx>
            <c:strRef>
              <c:f>'Timing calculations'!$EQ$10</c:f>
              <c:strCache>
                <c:ptCount val="1"/>
                <c:pt idx="0">
                  <c:v>Online / Teleservices</c:v>
                </c:pt>
              </c:strCache>
            </c:strRef>
          </c:tx>
          <c:spPr>
            <a:solidFill>
              <a:schemeClr val="accent2">
                <a:lumMod val="40000"/>
                <a:lumOff val="60000"/>
              </a:schemeClr>
            </a:solidFill>
            <a:ln>
              <a:noFill/>
            </a:ln>
            <a:effectLst/>
          </c:spPr>
          <c:dLbls>
            <c:dLbl>
              <c:idx val="0"/>
              <c:layout>
                <c:manualLayout>
                  <c:x val="9.0710573828819113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5E34-4B9C-8658-B0AFBA4389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calculations'!$EQ$11:$EQ$40</c:f>
              <c:numCache>
                <c:formatCode>0.0%</c:formatCode>
                <c:ptCount val="30"/>
                <c:pt idx="0">
                  <c:v>0</c:v>
                </c:pt>
                <c:pt idx="1">
                  <c:v>0</c:v>
                </c:pt>
                <c:pt idx="2">
                  <c:v>2.4999999999997247E-4</c:v>
                </c:pt>
                <c:pt idx="3">
                  <c:v>4.9999999999994493E-4</c:v>
                </c:pt>
                <c:pt idx="4">
                  <c:v>7.5000000000002842E-4</c:v>
                </c:pt>
                <c:pt idx="5">
                  <c:v>1.0000000000000009E-3</c:v>
                </c:pt>
                <c:pt idx="6">
                  <c:v>1.2499999999999734E-3</c:v>
                </c:pt>
                <c:pt idx="7">
                  <c:v>1.4999999999999458E-3</c:v>
                </c:pt>
                <c:pt idx="8">
                  <c:v>1.7500000000000293E-3</c:v>
                </c:pt>
                <c:pt idx="9">
                  <c:v>2.0000000000000018E-3</c:v>
                </c:pt>
                <c:pt idx="10">
                  <c:v>2.2499999999999742E-3</c:v>
                </c:pt>
                <c:pt idx="11">
                  <c:v>2.4999999999999467E-3</c:v>
                </c:pt>
                <c:pt idx="12">
                  <c:v>2.7500000000000302E-3</c:v>
                </c:pt>
                <c:pt idx="13">
                  <c:v>3.0000000000000027E-3</c:v>
                </c:pt>
                <c:pt idx="14">
                  <c:v>3.2499999999999751E-3</c:v>
                </c:pt>
                <c:pt idx="15">
                  <c:v>3.4999999999999476E-3</c:v>
                </c:pt>
                <c:pt idx="16">
                  <c:v>3.7500000000000311E-3</c:v>
                </c:pt>
                <c:pt idx="17">
                  <c:v>4.0000000000000036E-3</c:v>
                </c:pt>
                <c:pt idx="18">
                  <c:v>4.249999999999976E-3</c:v>
                </c:pt>
                <c:pt idx="19">
                  <c:v>4.4999999999999485E-3</c:v>
                </c:pt>
                <c:pt idx="20">
                  <c:v>4.750000000000032E-3</c:v>
                </c:pt>
                <c:pt idx="21">
                  <c:v>5.0000000000000044E-3</c:v>
                </c:pt>
                <c:pt idx="22">
                  <c:v>5.2499999999999769E-3</c:v>
                </c:pt>
                <c:pt idx="23">
                  <c:v>5.4999999999999494E-3</c:v>
                </c:pt>
                <c:pt idx="24">
                  <c:v>5.7500000000000329E-3</c:v>
                </c:pt>
                <c:pt idx="25">
                  <c:v>6.0000000000000053E-3</c:v>
                </c:pt>
                <c:pt idx="26">
                  <c:v>6.2499999999999778E-3</c:v>
                </c:pt>
                <c:pt idx="27">
                  <c:v>6.4999999999999503E-3</c:v>
                </c:pt>
                <c:pt idx="28">
                  <c:v>6.7500000000000338E-3</c:v>
                </c:pt>
                <c:pt idx="29">
                  <c:v>7.0000000000000062E-3</c:v>
                </c:pt>
              </c:numCache>
            </c:numRef>
          </c:val>
          <c:extLst>
            <c:ext xmlns:c16="http://schemas.microsoft.com/office/drawing/2014/chart" uri="{C3380CC4-5D6E-409C-BE32-E72D297353CC}">
              <c16:uniqueId val="{00000011-5E34-4B9C-8658-B0AFBA438964}"/>
            </c:ext>
          </c:extLst>
        </c:ser>
        <c:ser>
          <c:idx val="14"/>
          <c:order val="14"/>
          <c:tx>
            <c:strRef>
              <c:f>'Timing calculations'!$ER$10</c:f>
              <c:strCache>
                <c:ptCount val="1"/>
                <c:pt idx="0">
                  <c:v>Work from Home</c:v>
                </c:pt>
              </c:strCache>
            </c:strRef>
          </c:tx>
          <c:spPr>
            <a:solidFill>
              <a:schemeClr val="accent2">
                <a:lumMod val="20000"/>
                <a:lumOff val="80000"/>
              </a:schemeClr>
            </a:solidFill>
            <a:ln>
              <a:noFill/>
            </a:ln>
            <a:effectLst/>
          </c:spPr>
          <c:dLbls>
            <c:dLbl>
              <c:idx val="0"/>
              <c:layout>
                <c:manualLayout>
                  <c:x val="-1.3949084949189238E-2"/>
                  <c:y val="-6.9294446596389258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5E34-4B9C-8658-B0AFBA4389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'Timing calculations'!$ER$11:$ER$40</c:f>
              <c:numCache>
                <c:formatCode>0.0%</c:formatCode>
                <c:ptCount val="30"/>
                <c:pt idx="0">
                  <c:v>9.5999999999996088E-4</c:v>
                </c:pt>
                <c:pt idx="1">
                  <c:v>1.9200000000000328E-3</c:v>
                </c:pt>
                <c:pt idx="2">
                  <c:v>2.8799999999999937E-3</c:v>
                </c:pt>
                <c:pt idx="3">
                  <c:v>3.8399999999999546E-3</c:v>
                </c:pt>
                <c:pt idx="4">
                  <c:v>4.8000000000000265E-3</c:v>
                </c:pt>
                <c:pt idx="5">
                  <c:v>5.7599999999999874E-3</c:v>
                </c:pt>
                <c:pt idx="6">
                  <c:v>6.7199999999999482E-3</c:v>
                </c:pt>
                <c:pt idx="7">
                  <c:v>7.6800000000000201E-3</c:v>
                </c:pt>
                <c:pt idx="8">
                  <c:v>8.639999999999981E-3</c:v>
                </c:pt>
                <c:pt idx="9">
                  <c:v>9.6000000000000529E-3</c:v>
                </c:pt>
                <c:pt idx="10">
                  <c:v>1.0560000000000014E-2</c:v>
                </c:pt>
                <c:pt idx="11">
                  <c:v>1.1519999999999975E-2</c:v>
                </c:pt>
                <c:pt idx="12">
                  <c:v>1.2480000000000047E-2</c:v>
                </c:pt>
                <c:pt idx="13">
                  <c:v>1.3440000000000007E-2</c:v>
                </c:pt>
                <c:pt idx="14">
                  <c:v>1.4399999999999968E-2</c:v>
                </c:pt>
                <c:pt idx="15">
                  <c:v>1.536000000000004E-2</c:v>
                </c:pt>
                <c:pt idx="16">
                  <c:v>1.6320000000000001E-2</c:v>
                </c:pt>
                <c:pt idx="17">
                  <c:v>1.7279999999999962E-2</c:v>
                </c:pt>
                <c:pt idx="18">
                  <c:v>1.8240000000000034E-2</c:v>
                </c:pt>
                <c:pt idx="19">
                  <c:v>1.9199999999999995E-2</c:v>
                </c:pt>
                <c:pt idx="20">
                  <c:v>2.0159999999999956E-2</c:v>
                </c:pt>
                <c:pt idx="21">
                  <c:v>2.1120000000000028E-2</c:v>
                </c:pt>
                <c:pt idx="22">
                  <c:v>2.2079999999999989E-2</c:v>
                </c:pt>
                <c:pt idx="23">
                  <c:v>2.3039999999999949E-2</c:v>
                </c:pt>
                <c:pt idx="24">
                  <c:v>2.4000000000000021E-2</c:v>
                </c:pt>
                <c:pt idx="25">
                  <c:v>2.4959999999999982E-2</c:v>
                </c:pt>
                <c:pt idx="26">
                  <c:v>2.5919999999999943E-2</c:v>
                </c:pt>
                <c:pt idx="27">
                  <c:v>2.6880000000000015E-2</c:v>
                </c:pt>
                <c:pt idx="28">
                  <c:v>2.7839999999999976E-2</c:v>
                </c:pt>
                <c:pt idx="29">
                  <c:v>2.8799999999999937E-2</c:v>
                </c:pt>
              </c:numCache>
            </c:numRef>
          </c:val>
          <c:extLst>
            <c:ext xmlns:c16="http://schemas.microsoft.com/office/drawing/2014/chart" uri="{C3380CC4-5D6E-409C-BE32-E72D297353CC}">
              <c16:uniqueId val="{00000013-5E34-4B9C-8658-B0AFBA438964}"/>
            </c:ext>
          </c:extLst>
        </c:ser>
        <c:ser>
          <c:idx val="15"/>
          <c:order val="15"/>
          <c:tx>
            <c:strRef>
              <c:f>'Timing calculations'!$ED$10</c:f>
              <c:strCache>
                <c:ptCount val="1"/>
                <c:pt idx="0">
                  <c:v>1990-2020 change</c:v>
                </c:pt>
              </c:strCache>
            </c:strRef>
          </c:tx>
          <c:spPr>
            <a:solidFill>
              <a:schemeClr val="bg1"/>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'Timing calculations'!$ED$11:$ED$40</c:f>
              <c:numCache>
                <c:formatCode>0.00%</c:formatCode>
                <c:ptCount val="30"/>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numCache>
            </c:numRef>
          </c:val>
          <c:extLst>
            <c:ext xmlns:c16="http://schemas.microsoft.com/office/drawing/2014/chart" uri="{C3380CC4-5D6E-409C-BE32-E72D297353CC}">
              <c16:uniqueId val="{00000014-5E34-4B9C-8658-B0AFBA438964}"/>
            </c:ext>
          </c:extLst>
        </c:ser>
        <c:dLbls>
          <c:showLegendKey val="0"/>
          <c:showVal val="0"/>
          <c:showCatName val="0"/>
          <c:showSerName val="0"/>
          <c:showPercent val="0"/>
          <c:showBubbleSize val="0"/>
        </c:dLbls>
        <c:axId val="1161073112"/>
        <c:axId val="1161076392"/>
      </c:area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midCat"/>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100%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calculations'!$FA$6</c:f>
              <c:strCache>
                <c:ptCount val="1"/>
                <c:pt idx="0">
                  <c:v>Residual emissions</c:v>
                </c:pt>
              </c:strCache>
            </c:strRef>
          </c:tx>
          <c:spPr>
            <a:solidFill>
              <a:schemeClr val="bg1">
                <a:lumMod val="85000"/>
              </a:schemeClr>
            </a:solidFill>
            <a:ln w="25400">
              <a:noFill/>
            </a:ln>
            <a:effectLst/>
          </c:spPr>
          <c:dLbls>
            <c:dLbl>
              <c:idx val="0"/>
              <c:layout>
                <c:manualLayout>
                  <c:x val="-6.2445424867172666E-2"/>
                  <c:y val="-1.836734989030208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calculations'!$FA$7:$FA$40</c:f>
              <c:numCache>
                <c:formatCode>0%</c:formatCode>
                <c:ptCount val="34"/>
                <c:pt idx="0">
                  <c:v>1</c:v>
                </c:pt>
                <c:pt idx="1">
                  <c:v>0.98333333333333328</c:v>
                </c:pt>
                <c:pt idx="2">
                  <c:v>0.96666666666666656</c:v>
                </c:pt>
                <c:pt idx="3" formatCode="0.00%">
                  <c:v>0.95</c:v>
                </c:pt>
                <c:pt idx="4" formatCode="0.00%">
                  <c:v>0.92126769893611948</c:v>
                </c:pt>
                <c:pt idx="5" formatCode="0.00%">
                  <c:v>0.89232233717856968</c:v>
                </c:pt>
                <c:pt idx="6" formatCode="0.00%">
                  <c:v>0.85553595919261938</c:v>
                </c:pt>
                <c:pt idx="7" formatCode="0.00%">
                  <c:v>0.81777447895064692</c:v>
                </c:pt>
                <c:pt idx="8" formatCode="0.00%">
                  <c:v>0.77815106548382262</c:v>
                </c:pt>
                <c:pt idx="9" formatCode="0.00%">
                  <c:v>0.73753273397716379</c:v>
                </c:pt>
                <c:pt idx="10" formatCode="0.00%">
                  <c:v>0.69591246115414829</c:v>
                </c:pt>
                <c:pt idx="11" formatCode="0.00%">
                  <c:v>0.6532832237382542</c:v>
                </c:pt>
                <c:pt idx="12" formatCode="0.00%">
                  <c:v>0.60963799845296052</c:v>
                </c:pt>
                <c:pt idx="13" formatCode="0.00%">
                  <c:v>0.56496976202174454</c:v>
                </c:pt>
                <c:pt idx="14" formatCode="0.00%">
                  <c:v>0.51927149116808557</c:v>
                </c:pt>
                <c:pt idx="15" formatCode="0.00%">
                  <c:v>0.47253616261546105</c:v>
                </c:pt>
                <c:pt idx="16" formatCode="0.00%">
                  <c:v>0.42475675308734939</c:v>
                </c:pt>
                <c:pt idx="17" formatCode="0.00%">
                  <c:v>0.37592623930722902</c:v>
                </c:pt>
                <c:pt idx="18" formatCode="0.00%">
                  <c:v>0.32603759799857857</c:v>
                </c:pt>
                <c:pt idx="19" formatCode="0.00%">
                  <c:v>0.29704619031309931</c:v>
                </c:pt>
                <c:pt idx="20" formatCode="0.00%">
                  <c:v>0.26712161097913611</c:v>
                </c:pt>
                <c:pt idx="21" formatCode="0.00%">
                  <c:v>0.24154686024957905</c:v>
                </c:pt>
                <c:pt idx="22" formatCode="0.00%">
                  <c:v>0.21505816190672944</c:v>
                </c:pt>
                <c:pt idx="23" formatCode="0.00%">
                  <c:v>0.18764849267406669</c:v>
                </c:pt>
                <c:pt idx="24" formatCode="0.00%">
                  <c:v>0.17281986009123174</c:v>
                </c:pt>
                <c:pt idx="25" formatCode="0.00%">
                  <c:v>0.15896552310301559</c:v>
                </c:pt>
                <c:pt idx="26" formatCode="0.00%">
                  <c:v>0.1450208228858898</c:v>
                </c:pt>
                <c:pt idx="27" formatCode="0.00%">
                  <c:v>0.13098575943985336</c:v>
                </c:pt>
                <c:pt idx="28" formatCode="0.00%">
                  <c:v>0.11686033276490682</c:v>
                </c:pt>
                <c:pt idx="29" formatCode="0.00%">
                  <c:v>0.10264454286105018</c:v>
                </c:pt>
                <c:pt idx="30" formatCode="0.00%">
                  <c:v>8.833838972828334E-2</c:v>
                </c:pt>
                <c:pt idx="31" formatCode="0.00%">
                  <c:v>7.3941873366606625E-2</c:v>
                </c:pt>
                <c:pt idx="32" formatCode="0.00%">
                  <c:v>5.9454993776018705E-2</c:v>
                </c:pt>
                <c:pt idx="33" formatCode="0.00%">
                  <c:v>4.4877750956521911E-2</c:v>
                </c:pt>
              </c:numCache>
            </c:numRef>
          </c:val>
          <c:extLst>
            <c:ext xmlns:c16="http://schemas.microsoft.com/office/drawing/2014/chart" uri="{C3380CC4-5D6E-409C-BE32-E72D297353CC}">
              <c16:uniqueId val="{00000001-A92E-4962-B0ED-A0675E65FC4C}"/>
            </c:ext>
          </c:extLst>
        </c:ser>
        <c:ser>
          <c:idx val="11"/>
          <c:order val="1"/>
          <c:tx>
            <c:strRef>
              <c:f>'Timing calculations'!$FC$6</c:f>
              <c:strCache>
                <c:ptCount val="1"/>
                <c:pt idx="0">
                  <c:v>100% BEV</c:v>
                </c:pt>
              </c:strCache>
            </c:strRef>
          </c:tx>
          <c:spPr>
            <a:solidFill>
              <a:schemeClr val="accent4">
                <a:lumMod val="60000"/>
                <a:lumOff val="40000"/>
              </a:schemeClr>
            </a:solidFill>
            <a:ln w="25400">
              <a:noFill/>
            </a:ln>
            <a:effectLst/>
          </c:spPr>
          <c:dLbls>
            <c:dLbl>
              <c:idx val="0"/>
              <c:layout>
                <c:manualLayout>
                  <c:x val="8.3260566489563564E-2"/>
                  <c:y val="8.1632666179120381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calculations'!$FC$7:$FC$40</c:f>
              <c:numCache>
                <c:formatCode>0.00%</c:formatCode>
                <c:ptCount val="34"/>
                <c:pt idx="0">
                  <c:v>0</c:v>
                </c:pt>
                <c:pt idx="1">
                  <c:v>0</c:v>
                </c:pt>
                <c:pt idx="2">
                  <c:v>0</c:v>
                </c:pt>
                <c:pt idx="3">
                  <c:v>0</c:v>
                </c:pt>
                <c:pt idx="4" formatCode="0.0%">
                  <c:v>0</c:v>
                </c:pt>
                <c:pt idx="5" formatCode="0.0%">
                  <c:v>0</c:v>
                </c:pt>
                <c:pt idx="6" formatCode="0.0%">
                  <c:v>1.2191927691594204E-2</c:v>
                </c:pt>
                <c:pt idx="7" formatCode="0.0%">
                  <c:v>2.5176022174299522E-2</c:v>
                </c:pt>
                <c:pt idx="8" formatCode="0.0%">
                  <c:v>3.8959306724637682E-2</c:v>
                </c:pt>
                <c:pt idx="9" formatCode="0.0%">
                  <c:v>5.3548804619130433E-2</c:v>
                </c:pt>
                <c:pt idx="10" formatCode="0.0%">
                  <c:v>6.8951539134299508E-2</c:v>
                </c:pt>
                <c:pt idx="11" formatCode="0.0%">
                  <c:v>8.5174533546666667E-2</c:v>
                </c:pt>
                <c:pt idx="12" formatCode="0.0%">
                  <c:v>0.10222481113275363</c:v>
                </c:pt>
                <c:pt idx="13" formatCode="0.0%">
                  <c:v>0.12010939516908213</c:v>
                </c:pt>
                <c:pt idx="14" formatCode="0.0%">
                  <c:v>0.13883530893217391</c:v>
                </c:pt>
                <c:pt idx="15" formatCode="0.0%">
                  <c:v>0.15840957569855074</c:v>
                </c:pt>
                <c:pt idx="16" formatCode="0.0%">
                  <c:v>0.17883921874473432</c:v>
                </c:pt>
                <c:pt idx="17" formatCode="0.0%">
                  <c:v>0.2001312613472464</c:v>
                </c:pt>
                <c:pt idx="18" formatCode="0.0%">
                  <c:v>0.2222927267826087</c:v>
                </c:pt>
                <c:pt idx="19" formatCode="0.0%">
                  <c:v>0.24533063832734292</c:v>
                </c:pt>
                <c:pt idx="20" formatCode="0.0%">
                  <c:v>0.26925201925797104</c:v>
                </c:pt>
                <c:pt idx="21" formatCode="0.0%">
                  <c:v>0.29406389285101447</c:v>
                </c:pt>
                <c:pt idx="22" formatCode="0.0%">
                  <c:v>0.31977328238299513</c:v>
                </c:pt>
                <c:pt idx="23" formatCode="0.0%">
                  <c:v>0.3463872111304348</c:v>
                </c:pt>
                <c:pt idx="24" formatCode="0.0%">
                  <c:v>0.35423308645565221</c:v>
                </c:pt>
                <c:pt idx="25" formatCode="0.0%">
                  <c:v>0.36212110144000004</c:v>
                </c:pt>
                <c:pt idx="26" formatCode="0.0%">
                  <c:v>0.37005125608347822</c:v>
                </c:pt>
                <c:pt idx="27" formatCode="0.0%">
                  <c:v>0.37802355038608709</c:v>
                </c:pt>
                <c:pt idx="28" formatCode="0.0%">
                  <c:v>0.3860379843478261</c:v>
                </c:pt>
                <c:pt idx="29" formatCode="0.0%">
                  <c:v>0.39409455796869569</c:v>
                </c:pt>
                <c:pt idx="30" formatCode="0.0%">
                  <c:v>0.40219327124869575</c:v>
                </c:pt>
                <c:pt idx="31" formatCode="0.0%">
                  <c:v>0.410334124187826</c:v>
                </c:pt>
                <c:pt idx="32" formatCode="0.0%">
                  <c:v>0.41851711678608711</c:v>
                </c:pt>
                <c:pt idx="33" formatCode="0.0%">
                  <c:v>0.42674224904347824</c:v>
                </c:pt>
              </c:numCache>
            </c:numRef>
          </c:val>
          <c:extLst>
            <c:ext xmlns:c16="http://schemas.microsoft.com/office/drawing/2014/chart" uri="{C3380CC4-5D6E-409C-BE32-E72D297353CC}">
              <c16:uniqueId val="{00000003-A92E-4962-B0ED-A0675E65FC4C}"/>
            </c:ext>
          </c:extLst>
        </c:ser>
        <c:ser>
          <c:idx val="4"/>
          <c:order val="2"/>
          <c:tx>
            <c:strRef>
              <c:f>'Timing calculations'!$FD$6</c:f>
              <c:strCache>
                <c:ptCount val="1"/>
                <c:pt idx="0">
                  <c:v>ICE fuel efficiency@100%BEV</c:v>
                </c:pt>
              </c:strCache>
            </c:strRef>
          </c:tx>
          <c:spPr>
            <a:solidFill>
              <a:schemeClr val="accent1">
                <a:lumMod val="20000"/>
                <a:lumOff val="80000"/>
              </a:schemeClr>
            </a:solidFill>
            <a:ln w="25400">
              <a:noFill/>
            </a:ln>
            <a:effectLst/>
          </c:spPr>
          <c:dLbls>
            <c:dLbl>
              <c:idx val="0"/>
              <c:layout>
                <c:manualLayout>
                  <c:x val="-3.1458726637808722E-2"/>
                  <c:y val="-1.836734989030216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calculations'!$FD$7:$FD$40</c:f>
              <c:numCache>
                <c:formatCode>0.00%</c:formatCode>
                <c:ptCount val="34"/>
                <c:pt idx="0">
                  <c:v>0</c:v>
                </c:pt>
                <c:pt idx="1">
                  <c:v>0</c:v>
                </c:pt>
                <c:pt idx="2">
                  <c:v>0</c:v>
                </c:pt>
                <c:pt idx="3">
                  <c:v>0</c:v>
                </c:pt>
                <c:pt idx="4" formatCode="0.0%">
                  <c:v>5.0072235294117617E-3</c:v>
                </c:pt>
                <c:pt idx="5" formatCode="0.0%">
                  <c:v>1.0047717647058819E-2</c:v>
                </c:pt>
                <c:pt idx="6" formatCode="0.0%">
                  <c:v>1.0305010196078428E-2</c:v>
                </c:pt>
                <c:pt idx="7" formatCode="0.0%">
                  <c:v>1.0563781437908494E-2</c:v>
                </c:pt>
                <c:pt idx="8" formatCode="0.0%">
                  <c:v>1.0824031372549016E-2</c:v>
                </c:pt>
                <c:pt idx="9" formatCode="0.0%">
                  <c:v>1.1085759999999995E-2</c:v>
                </c:pt>
                <c:pt idx="10" formatCode="0.0%">
                  <c:v>1.1348967320261428E-2</c:v>
                </c:pt>
                <c:pt idx="11" formatCode="0.0%">
                  <c:v>1.1613653333333328E-2</c:v>
                </c:pt>
                <c:pt idx="12" formatCode="0.0%">
                  <c:v>1.187981803921568E-2</c:v>
                </c:pt>
                <c:pt idx="13" formatCode="0.0%">
                  <c:v>1.2147461437908492E-2</c:v>
                </c:pt>
                <c:pt idx="14" formatCode="0.0%">
                  <c:v>1.2416583529411744E-2</c:v>
                </c:pt>
                <c:pt idx="15" formatCode="0.0%">
                  <c:v>1.2687184313725485E-2</c:v>
                </c:pt>
                <c:pt idx="16" formatCode="0.0%">
                  <c:v>1.295926379084966E-2</c:v>
                </c:pt>
                <c:pt idx="17" formatCode="0.0%">
                  <c:v>1.323282196078431E-2</c:v>
                </c:pt>
                <c:pt idx="18" formatCode="0.0%">
                  <c:v>1.3507858823529411E-2</c:v>
                </c:pt>
                <c:pt idx="19" formatCode="0.0%">
                  <c:v>1.3784374379084965E-2</c:v>
                </c:pt>
                <c:pt idx="20" formatCode="0.0%">
                  <c:v>1.4062368627450998E-2</c:v>
                </c:pt>
                <c:pt idx="21" formatCode="0.0%">
                  <c:v>9.0518180392156877E-3</c:v>
                </c:pt>
                <c:pt idx="22" formatCode="0.0%">
                  <c:v>4.0094755555555609E-3</c:v>
                </c:pt>
                <c:pt idx="23" formatCode="0.0%">
                  <c:v>-1.0646588235294332E-3</c:v>
                </c:pt>
                <c:pt idx="24" formatCode="0.0%">
                  <c:v>7.4246164771807348E-18</c:v>
                </c:pt>
                <c:pt idx="25" formatCode="0.0%">
                  <c:v>7.4477461235270928E-18</c:v>
                </c:pt>
                <c:pt idx="26" formatCode="0.0%">
                  <c:v>7.4708757698734476E-18</c:v>
                </c:pt>
                <c:pt idx="27" formatCode="0.0%">
                  <c:v>7.4940054162198087E-18</c:v>
                </c:pt>
                <c:pt idx="28" formatCode="0.0%">
                  <c:v>7.5171350625661636E-18</c:v>
                </c:pt>
                <c:pt idx="29" formatCode="0.0%">
                  <c:v>7.5402647089125215E-18</c:v>
                </c:pt>
                <c:pt idx="30" formatCode="0.0%">
                  <c:v>7.5633943552588795E-18</c:v>
                </c:pt>
                <c:pt idx="31" formatCode="0.0%">
                  <c:v>7.5865240016052344E-18</c:v>
                </c:pt>
                <c:pt idx="32" formatCode="0.0%">
                  <c:v>7.6096536479515954E-18</c:v>
                </c:pt>
                <c:pt idx="33" formatCode="0.0%">
                  <c:v>7.6327832942979503E-18</c:v>
                </c:pt>
              </c:numCache>
            </c:numRef>
          </c:val>
          <c:extLst>
            <c:ext xmlns:c16="http://schemas.microsoft.com/office/drawing/2014/chart" uri="{C3380CC4-5D6E-409C-BE32-E72D297353CC}">
              <c16:uniqueId val="{00000005-A92E-4962-B0ED-A0675E65FC4C}"/>
            </c:ext>
          </c:extLst>
        </c:ser>
        <c:ser>
          <c:idx val="0"/>
          <c:order val="3"/>
          <c:tx>
            <c:strRef>
              <c:f>'Timing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calculations'!$FE$7:$FE$40</c:f>
              <c:numCache>
                <c:formatCode>0.00%</c:formatCode>
                <c:ptCount val="34"/>
                <c:pt idx="0">
                  <c:v>0</c:v>
                </c:pt>
                <c:pt idx="1">
                  <c:v>0</c:v>
                </c:pt>
                <c:pt idx="2">
                  <c:v>0</c:v>
                </c:pt>
                <c:pt idx="3">
                  <c:v>0</c:v>
                </c:pt>
                <c:pt idx="4" formatCode="0.0%">
                  <c:v>1.6404866180048626E-2</c:v>
                </c:pt>
                <c:pt idx="5" formatCode="0.0%">
                  <c:v>3.2918734793187389E-2</c:v>
                </c:pt>
                <c:pt idx="6" formatCode="0.0%">
                  <c:v>4.9541605839416067E-2</c:v>
                </c:pt>
                <c:pt idx="7" formatCode="0.0%">
                  <c:v>6.6273479318734771E-2</c:v>
                </c:pt>
                <c:pt idx="8" formatCode="0.0%">
                  <c:v>8.3114355231143619E-2</c:v>
                </c:pt>
                <c:pt idx="9" formatCode="0.0%">
                  <c:v>0.10006423357664236</c:v>
                </c:pt>
                <c:pt idx="10" formatCode="0.0%">
                  <c:v>0.11712311435523112</c:v>
                </c:pt>
                <c:pt idx="11" formatCode="0.0%">
                  <c:v>0.13429099756690993</c:v>
                </c:pt>
                <c:pt idx="12" formatCode="0.0%">
                  <c:v>0.15156788321167874</c:v>
                </c:pt>
                <c:pt idx="13" formatCode="0.0%">
                  <c:v>0.16895377128953773</c:v>
                </c:pt>
                <c:pt idx="14" formatCode="0.0%">
                  <c:v>0.18644866180048658</c:v>
                </c:pt>
                <c:pt idx="15" formatCode="0.0%">
                  <c:v>0.20405255474452549</c:v>
                </c:pt>
                <c:pt idx="16" formatCode="0.0%">
                  <c:v>0.22176545012165449</c:v>
                </c:pt>
                <c:pt idx="17" formatCode="0.0%">
                  <c:v>0.23958734793187345</c:v>
                </c:pt>
                <c:pt idx="18" formatCode="0.0%">
                  <c:v>0.25751824817518243</c:v>
                </c:pt>
                <c:pt idx="19" formatCode="0.0%">
                  <c:v>0.25833576642335754</c:v>
                </c:pt>
                <c:pt idx="20" formatCode="0.0%">
                  <c:v>0.25915328467153281</c:v>
                </c:pt>
                <c:pt idx="21" formatCode="0.0%">
                  <c:v>0.25997080291970803</c:v>
                </c:pt>
                <c:pt idx="22" formatCode="0.0%">
                  <c:v>0.26078832116788325</c:v>
                </c:pt>
                <c:pt idx="23" formatCode="0.0%">
                  <c:v>0.26160583941605842</c:v>
                </c:pt>
                <c:pt idx="24" formatCode="0.0%">
                  <c:v>0.26242335766423358</c:v>
                </c:pt>
                <c:pt idx="25" formatCode="0.0%">
                  <c:v>0.2632408759124088</c:v>
                </c:pt>
                <c:pt idx="26" formatCode="0.0%">
                  <c:v>0.26405839416058391</c:v>
                </c:pt>
                <c:pt idx="27" formatCode="0.0%">
                  <c:v>0.26487591240875918</c:v>
                </c:pt>
                <c:pt idx="28" formatCode="0.0%">
                  <c:v>0.26569343065693429</c:v>
                </c:pt>
                <c:pt idx="29" formatCode="0.0%">
                  <c:v>0.26651094890510951</c:v>
                </c:pt>
                <c:pt idx="30" formatCode="0.0%">
                  <c:v>0.26732846715328468</c:v>
                </c:pt>
                <c:pt idx="31" formatCode="0.0%">
                  <c:v>0.26814598540145979</c:v>
                </c:pt>
                <c:pt idx="32" formatCode="0.0%">
                  <c:v>0.26896350364963512</c:v>
                </c:pt>
                <c:pt idx="33" formatCode="0.0%">
                  <c:v>0.26978102189781017</c:v>
                </c:pt>
              </c:numCache>
            </c:numRef>
          </c:val>
          <c:extLst>
            <c:ext xmlns:c16="http://schemas.microsoft.com/office/drawing/2014/chart" uri="{C3380CC4-5D6E-409C-BE32-E72D297353CC}">
              <c16:uniqueId val="{00000007-A92E-4962-B0ED-A0675E65FC4C}"/>
            </c:ext>
          </c:extLst>
        </c:ser>
        <c:ser>
          <c:idx val="12"/>
          <c:order val="4"/>
          <c:tx>
            <c:strRef>
              <c:f>'Timing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calculations'!$FF$7:$FF$40</c:f>
              <c:numCache>
                <c:formatCode>0.00%</c:formatCode>
                <c:ptCount val="34"/>
                <c:pt idx="0">
                  <c:v>0</c:v>
                </c:pt>
                <c:pt idx="1">
                  <c:v>0</c:v>
                </c:pt>
                <c:pt idx="2">
                  <c:v>0</c:v>
                </c:pt>
                <c:pt idx="3">
                  <c:v>0</c:v>
                </c:pt>
                <c:pt idx="4" formatCode="0.0%">
                  <c:v>3.4909164639092124E-3</c:v>
                </c:pt>
                <c:pt idx="5" formatCode="0.0%">
                  <c:v>7.0050283860502681E-3</c:v>
                </c:pt>
                <c:pt idx="6" formatCode="0.0%">
                  <c:v>1.0542335766423392E-2</c:v>
                </c:pt>
                <c:pt idx="7" formatCode="0.0%">
                  <c:v>1.4102838605028357E-2</c:v>
                </c:pt>
                <c:pt idx="8" formatCode="0.0%">
                  <c:v>1.7686536901865391E-2</c:v>
                </c:pt>
                <c:pt idx="9" formatCode="0.0%">
                  <c:v>2.1293430656934259E-2</c:v>
                </c:pt>
                <c:pt idx="10" formatCode="0.0%">
                  <c:v>2.4923519870235198E-2</c:v>
                </c:pt>
                <c:pt idx="11" formatCode="0.0%">
                  <c:v>2.8576804541768096E-2</c:v>
                </c:pt>
                <c:pt idx="12" formatCode="0.0%">
                  <c:v>3.2253284671532836E-2</c:v>
                </c:pt>
                <c:pt idx="13" formatCode="0.0%">
                  <c:v>3.595296025952964E-2</c:v>
                </c:pt>
                <c:pt idx="14" formatCode="0.0%">
                  <c:v>3.9675831305758281E-2</c:v>
                </c:pt>
                <c:pt idx="15" formatCode="0.0%">
                  <c:v>4.3421897810218997E-2</c:v>
                </c:pt>
                <c:pt idx="16" formatCode="0.0%">
                  <c:v>4.7191159772911551E-2</c:v>
                </c:pt>
                <c:pt idx="17" formatCode="0.0%">
                  <c:v>5.0983617193836178E-2</c:v>
                </c:pt>
                <c:pt idx="18" formatCode="0.0%">
                  <c:v>5.4799270072992644E-2</c:v>
                </c:pt>
                <c:pt idx="19" formatCode="0.0%">
                  <c:v>5.8638118410381156E-2</c:v>
                </c:pt>
                <c:pt idx="20" formatCode="0.0%">
                  <c:v>6.2500162206001672E-2</c:v>
                </c:pt>
                <c:pt idx="21" formatCode="0.0%">
                  <c:v>6.6385401459853971E-2</c:v>
                </c:pt>
                <c:pt idx="22" formatCode="0.0%">
                  <c:v>7.0293836171938379E-2</c:v>
                </c:pt>
                <c:pt idx="23" formatCode="0.0%">
                  <c:v>7.4225466342254742E-2</c:v>
                </c:pt>
                <c:pt idx="24" formatCode="0.0%">
                  <c:v>7.8180291970802937E-2</c:v>
                </c:pt>
                <c:pt idx="25" formatCode="0.0%">
                  <c:v>8.2158313057583199E-2</c:v>
                </c:pt>
                <c:pt idx="26" formatCode="0.0%">
                  <c:v>8.6159529602595264E-2</c:v>
                </c:pt>
                <c:pt idx="27" formatCode="0.0%">
                  <c:v>9.0183941605839479E-2</c:v>
                </c:pt>
                <c:pt idx="28" formatCode="0.0%">
                  <c:v>9.4231549067315581E-2</c:v>
                </c:pt>
                <c:pt idx="29" formatCode="0.0%">
                  <c:v>9.8302351987023542E-2</c:v>
                </c:pt>
                <c:pt idx="30" formatCode="0.0%">
                  <c:v>0.10239635036496358</c:v>
                </c:pt>
                <c:pt idx="31" formatCode="0.0%">
                  <c:v>0.10651354420113543</c:v>
                </c:pt>
                <c:pt idx="32" formatCode="0.0%">
                  <c:v>0.11065393349553942</c:v>
                </c:pt>
                <c:pt idx="33" formatCode="0.0%">
                  <c:v>0.11481751824817528</c:v>
                </c:pt>
              </c:numCache>
            </c:numRef>
          </c:val>
          <c:extLst>
            <c:ext xmlns:c16="http://schemas.microsoft.com/office/drawing/2014/chart" uri="{C3380CC4-5D6E-409C-BE32-E72D297353CC}">
              <c16:uniqueId val="{00000009-A92E-4962-B0ED-A0675E65FC4C}"/>
            </c:ext>
          </c:extLst>
        </c:ser>
        <c:ser>
          <c:idx val="7"/>
          <c:order val="5"/>
          <c:tx>
            <c:strRef>
              <c:f>'Timing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calculations'!$FG$7:$FG$40</c:f>
              <c:numCache>
                <c:formatCode>0.00%</c:formatCode>
                <c:ptCount val="34"/>
                <c:pt idx="0">
                  <c:v>0</c:v>
                </c:pt>
                <c:pt idx="1">
                  <c:v>0</c:v>
                </c:pt>
                <c:pt idx="2">
                  <c:v>0</c:v>
                </c:pt>
                <c:pt idx="3">
                  <c:v>0</c:v>
                </c:pt>
                <c:pt idx="4" formatCode="0.0%">
                  <c:v>1.684428223844281E-3</c:v>
                </c:pt>
                <c:pt idx="5" formatCode="0.0%">
                  <c:v>3.3800486618004843E-3</c:v>
                </c:pt>
                <c:pt idx="6" formatCode="0.0%">
                  <c:v>5.0868613138686106E-3</c:v>
                </c:pt>
                <c:pt idx="7" formatCode="0.0%">
                  <c:v>6.8048661800486588E-3</c:v>
                </c:pt>
                <c:pt idx="8" formatCode="0.0%">
                  <c:v>8.534063260340629E-3</c:v>
                </c:pt>
                <c:pt idx="9" formatCode="0.0%">
                  <c:v>1.0274452554744519E-2</c:v>
                </c:pt>
                <c:pt idx="10" formatCode="0.0%">
                  <c:v>1.2026034063260332E-2</c:v>
                </c:pt>
                <c:pt idx="11" formatCode="0.0%">
                  <c:v>1.378880778588807E-2</c:v>
                </c:pt>
                <c:pt idx="12" formatCode="0.0%">
                  <c:v>1.5562773722627729E-2</c:v>
                </c:pt>
                <c:pt idx="13" formatCode="0.0%">
                  <c:v>1.734793187347931E-2</c:v>
                </c:pt>
                <c:pt idx="14" formatCode="0.0%">
                  <c:v>1.9144282238442809E-2</c:v>
                </c:pt>
                <c:pt idx="15" formatCode="0.0%">
                  <c:v>2.0951824817518238E-2</c:v>
                </c:pt>
                <c:pt idx="16" formatCode="0.0%">
                  <c:v>2.2770559610705583E-2</c:v>
                </c:pt>
                <c:pt idx="17" formatCode="0.0%">
                  <c:v>2.460048661800485E-2</c:v>
                </c:pt>
                <c:pt idx="18" formatCode="0.0%">
                  <c:v>2.6441605839416044E-2</c:v>
                </c:pt>
                <c:pt idx="19" formatCode="0.0%">
                  <c:v>2.829391727493915E-2</c:v>
                </c:pt>
                <c:pt idx="20" formatCode="0.0%">
                  <c:v>3.0157420924574199E-2</c:v>
                </c:pt>
                <c:pt idx="21" formatCode="0.0%">
                  <c:v>3.2032116788321144E-2</c:v>
                </c:pt>
                <c:pt idx="22" formatCode="0.0%">
                  <c:v>3.3918004866180025E-2</c:v>
                </c:pt>
                <c:pt idx="23" formatCode="0.0%">
                  <c:v>3.5815085158150829E-2</c:v>
                </c:pt>
                <c:pt idx="24" formatCode="0.0%">
                  <c:v>3.7723357664233556E-2</c:v>
                </c:pt>
                <c:pt idx="25" formatCode="0.0%">
                  <c:v>3.9642822384428206E-2</c:v>
                </c:pt>
                <c:pt idx="26" formatCode="0.0%">
                  <c:v>4.1573479318734764E-2</c:v>
                </c:pt>
                <c:pt idx="27" formatCode="0.0%">
                  <c:v>4.3515328467153273E-2</c:v>
                </c:pt>
                <c:pt idx="28" formatCode="0.0%">
                  <c:v>4.5468369829683671E-2</c:v>
                </c:pt>
                <c:pt idx="29" formatCode="0.0%">
                  <c:v>4.7432603406326004E-2</c:v>
                </c:pt>
                <c:pt idx="30" formatCode="0.0%">
                  <c:v>4.9408029197080268E-2</c:v>
                </c:pt>
                <c:pt idx="31" formatCode="0.0%">
                  <c:v>5.1394647201946426E-2</c:v>
                </c:pt>
                <c:pt idx="32" formatCode="0.0%">
                  <c:v>5.3392457420924556E-2</c:v>
                </c:pt>
                <c:pt idx="33" formatCode="0.0%">
                  <c:v>5.5401459854014561E-2</c:v>
                </c:pt>
              </c:numCache>
            </c:numRef>
          </c:val>
          <c:extLst>
            <c:ext xmlns:c16="http://schemas.microsoft.com/office/drawing/2014/chart" uri="{C3380CC4-5D6E-409C-BE32-E72D297353CC}">
              <c16:uniqueId val="{0000000B-A92E-4962-B0ED-A0675E65FC4C}"/>
            </c:ext>
          </c:extLst>
        </c:ser>
        <c:ser>
          <c:idx val="5"/>
          <c:order val="6"/>
          <c:tx>
            <c:strRef>
              <c:f>'Timing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calculations'!$FH$7:$FH$40</c:f>
              <c:numCache>
                <c:formatCode>0.00%</c:formatCode>
                <c:ptCount val="34"/>
                <c:pt idx="0">
                  <c:v>0</c:v>
                </c:pt>
                <c:pt idx="1">
                  <c:v>0</c:v>
                </c:pt>
                <c:pt idx="2">
                  <c:v>0</c:v>
                </c:pt>
                <c:pt idx="3">
                  <c:v>0</c:v>
                </c:pt>
                <c:pt idx="4" formatCode="0.0%">
                  <c:v>4.5149999999999479E-3</c:v>
                </c:pt>
                <c:pt idx="5" formatCode="0.0%">
                  <c:v>9.0600000000000073E-3</c:v>
                </c:pt>
                <c:pt idx="6" formatCode="0.0%">
                  <c:v>1.3634999999999956E-2</c:v>
                </c:pt>
                <c:pt idx="7" formatCode="0.0%">
                  <c:v>1.8240000000000017E-2</c:v>
                </c:pt>
                <c:pt idx="8" formatCode="0.0%">
                  <c:v>2.2874999999999968E-2</c:v>
                </c:pt>
                <c:pt idx="9" formatCode="0.0%">
                  <c:v>2.7540000000000026E-2</c:v>
                </c:pt>
                <c:pt idx="10" formatCode="0.0%">
                  <c:v>3.2234999999999965E-2</c:v>
                </c:pt>
                <c:pt idx="11" formatCode="0.0%">
                  <c:v>3.6960000000000028E-2</c:v>
                </c:pt>
                <c:pt idx="12" formatCode="0.0%">
                  <c:v>4.1714999999999981E-2</c:v>
                </c:pt>
                <c:pt idx="13" formatCode="0.0%">
                  <c:v>4.6500000000000048E-2</c:v>
                </c:pt>
                <c:pt idx="14" formatCode="0.0%">
                  <c:v>5.1314999999999986E-2</c:v>
                </c:pt>
                <c:pt idx="15" formatCode="0.0%">
                  <c:v>5.616000000000005E-2</c:v>
                </c:pt>
                <c:pt idx="16" formatCode="0.0%">
                  <c:v>6.1034999999999992E-2</c:v>
                </c:pt>
                <c:pt idx="17" formatCode="0.0%">
                  <c:v>6.5940000000000054E-2</c:v>
                </c:pt>
                <c:pt idx="18" formatCode="0.0%">
                  <c:v>7.0875000000000007E-2</c:v>
                </c:pt>
                <c:pt idx="19" formatCode="0.0%">
                  <c:v>7.1099999999999983E-2</c:v>
                </c:pt>
                <c:pt idx="20" formatCode="0.0%">
                  <c:v>7.1325000000000013E-2</c:v>
                </c:pt>
                <c:pt idx="21" formatCode="0.0%">
                  <c:v>7.1549999999999989E-2</c:v>
                </c:pt>
                <c:pt idx="22" formatCode="0.0%">
                  <c:v>7.1775000000000005E-2</c:v>
                </c:pt>
                <c:pt idx="23" formatCode="0.0%">
                  <c:v>7.2000000000000008E-2</c:v>
                </c:pt>
                <c:pt idx="24" formatCode="0.0%">
                  <c:v>7.2225000000000011E-2</c:v>
                </c:pt>
                <c:pt idx="25" formatCode="0.0%">
                  <c:v>7.2450000000000014E-2</c:v>
                </c:pt>
                <c:pt idx="26" formatCode="0.0%">
                  <c:v>7.267499999999999E-2</c:v>
                </c:pt>
                <c:pt idx="27" formatCode="0.0%">
                  <c:v>7.290000000000002E-2</c:v>
                </c:pt>
                <c:pt idx="28" formatCode="0.0%">
                  <c:v>7.3124999999999996E-2</c:v>
                </c:pt>
                <c:pt idx="29" formatCode="0.0%">
                  <c:v>7.3349999999999999E-2</c:v>
                </c:pt>
                <c:pt idx="30" formatCode="0.0%">
                  <c:v>7.3575000000000015E-2</c:v>
                </c:pt>
                <c:pt idx="31" formatCode="0.0%">
                  <c:v>7.3799999999999991E-2</c:v>
                </c:pt>
                <c:pt idx="32" formatCode="0.0%">
                  <c:v>7.4025000000000021E-2</c:v>
                </c:pt>
                <c:pt idx="33" formatCode="0.0%">
                  <c:v>7.4249999999999997E-2</c:v>
                </c:pt>
              </c:numCache>
            </c:numRef>
          </c:val>
          <c:extLst>
            <c:ext xmlns:c16="http://schemas.microsoft.com/office/drawing/2014/chart" uri="{C3380CC4-5D6E-409C-BE32-E72D297353CC}">
              <c16:uniqueId val="{0000000D-A92E-4962-B0ED-A0675E65FC4C}"/>
            </c:ext>
          </c:extLst>
        </c:ser>
        <c:ser>
          <c:idx val="9"/>
          <c:order val="7"/>
          <c:tx>
            <c:strRef>
              <c:f>'Timing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8.798076923077345E-4</c:v>
                </c:pt>
                <c:pt idx="9" formatCode="0.0%">
                  <c:v>1.7653846153845864E-3</c:v>
                </c:pt>
                <c:pt idx="10" formatCode="0.0%">
                  <c:v>2.6567307692307823E-3</c:v>
                </c:pt>
                <c:pt idx="11" formatCode="0.0%">
                  <c:v>3.5538461538462095E-3</c:v>
                </c:pt>
                <c:pt idx="12" formatCode="0.0%">
                  <c:v>4.4567307692307536E-3</c:v>
                </c:pt>
                <c:pt idx="13" formatCode="0.0%">
                  <c:v>5.3653846153846425E-3</c:v>
                </c:pt>
                <c:pt idx="14" formatCode="0.0%">
                  <c:v>6.2798076923076471E-3</c:v>
                </c:pt>
                <c:pt idx="15" formatCode="0.0%">
                  <c:v>7.1999999999999981E-3</c:v>
                </c:pt>
                <c:pt idx="16" formatCode="0.0%">
                  <c:v>8.1259615384615784E-3</c:v>
                </c:pt>
                <c:pt idx="17" formatCode="0.0%">
                  <c:v>9.0576923076922753E-3</c:v>
                </c:pt>
                <c:pt idx="18" formatCode="0.0%">
                  <c:v>9.9951923076923195E-3</c:v>
                </c:pt>
                <c:pt idx="19" formatCode="0.0%">
                  <c:v>1.093846153846159E-2</c:v>
                </c:pt>
                <c:pt idx="20" formatCode="0.0%">
                  <c:v>1.1887499999999983E-2</c:v>
                </c:pt>
                <c:pt idx="21" formatCode="0.0%">
                  <c:v>1.2842307692307715E-2</c:v>
                </c:pt>
                <c:pt idx="22" formatCode="0.0%">
                  <c:v>1.3802884615384566E-2</c:v>
                </c:pt>
                <c:pt idx="23" formatCode="0.0%">
                  <c:v>1.4769230769230764E-2</c:v>
                </c:pt>
                <c:pt idx="24" formatCode="0.0%">
                  <c:v>1.5741346153846193E-2</c:v>
                </c:pt>
                <c:pt idx="25" formatCode="0.0%">
                  <c:v>1.6719230769230736E-2</c:v>
                </c:pt>
                <c:pt idx="26" formatCode="0.0%">
                  <c:v>1.770288461538462E-2</c:v>
                </c:pt>
                <c:pt idx="27" formatCode="0.0%">
                  <c:v>1.8692307692307751E-2</c:v>
                </c:pt>
                <c:pt idx="28" formatCode="0.0%">
                  <c:v>1.9687499999999976E-2</c:v>
                </c:pt>
                <c:pt idx="29" formatCode="0.0%">
                  <c:v>2.0688461538461562E-2</c:v>
                </c:pt>
                <c:pt idx="30" formatCode="0.0%">
                  <c:v>2.1695192307692256E-2</c:v>
                </c:pt>
                <c:pt idx="31" formatCode="0.0%">
                  <c:v>2.2707692307692293E-2</c:v>
                </c:pt>
                <c:pt idx="32" formatCode="0.0%">
                  <c:v>2.3725961538461581E-2</c:v>
                </c:pt>
                <c:pt idx="33" formatCode="0.0%">
                  <c:v>2.474999999999996E-2</c:v>
                </c:pt>
              </c:numCache>
            </c:numRef>
          </c:val>
          <c:extLst>
            <c:ext xmlns:c16="http://schemas.microsoft.com/office/drawing/2014/chart" uri="{C3380CC4-5D6E-409C-BE32-E72D297353CC}">
              <c16:uniqueId val="{0000000F-A92E-4962-B0ED-A0675E65FC4C}"/>
            </c:ext>
          </c:extLst>
        </c:ser>
        <c:ser>
          <c:idx val="6"/>
          <c:order val="8"/>
          <c:tx>
            <c:strRef>
              <c:f>'Timing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calculations'!$FJ$7:$FJ$40</c:f>
              <c:numCache>
                <c:formatCode>0.00%</c:formatCode>
                <c:ptCount val="34"/>
                <c:pt idx="0">
                  <c:v>0</c:v>
                </c:pt>
                <c:pt idx="1">
                  <c:v>0</c:v>
                </c:pt>
                <c:pt idx="2">
                  <c:v>0</c:v>
                </c:pt>
                <c:pt idx="3">
                  <c:v>0</c:v>
                </c:pt>
                <c:pt idx="4" formatCode="0.0%">
                  <c:v>0</c:v>
                </c:pt>
                <c:pt idx="5" formatCode="0.0%">
                  <c:v>0</c:v>
                </c:pt>
                <c:pt idx="6" formatCode="0.0%">
                  <c:v>2.524999999999722E-4</c:v>
                </c:pt>
                <c:pt idx="7" formatCode="0.0%">
                  <c:v>5.0666666666661093E-4</c:v>
                </c:pt>
                <c:pt idx="8" formatCode="0.0%">
                  <c:v>7.62500000000029E-4</c:v>
                </c:pt>
                <c:pt idx="9" formatCode="0.0%">
                  <c:v>1.0200000000000009E-3</c:v>
                </c:pt>
                <c:pt idx="10" formatCode="0.0%">
                  <c:v>1.2791666666666392E-3</c:v>
                </c:pt>
                <c:pt idx="11" formatCode="0.0%">
                  <c:v>1.5399999999999444E-3</c:v>
                </c:pt>
                <c:pt idx="12" formatCode="0.0%">
                  <c:v>1.8025000000000302E-3</c:v>
                </c:pt>
                <c:pt idx="13" formatCode="0.0%">
                  <c:v>2.0666666666666689E-3</c:v>
                </c:pt>
                <c:pt idx="14" formatCode="0.0%">
                  <c:v>2.332499999999973E-3</c:v>
                </c:pt>
                <c:pt idx="15" formatCode="0.0%">
                  <c:v>2.5999999999999448E-3</c:v>
                </c:pt>
                <c:pt idx="16" formatCode="0.0%">
                  <c:v>2.8691666666666978E-3</c:v>
                </c:pt>
                <c:pt idx="17" formatCode="0.0%">
                  <c:v>3.1400000000000026E-3</c:v>
                </c:pt>
                <c:pt idx="18" formatCode="0.0%">
                  <c:v>3.4124999999999741E-3</c:v>
                </c:pt>
                <c:pt idx="19" formatCode="0.0%">
                  <c:v>3.6866666666666103E-3</c:v>
                </c:pt>
                <c:pt idx="20" formatCode="0.0%">
                  <c:v>3.9625000000000337E-3</c:v>
                </c:pt>
                <c:pt idx="21" formatCode="0.0%">
                  <c:v>4.2400000000000033E-3</c:v>
                </c:pt>
                <c:pt idx="22" formatCode="0.0%">
                  <c:v>4.519166666666641E-3</c:v>
                </c:pt>
                <c:pt idx="23" formatCode="0.0%">
                  <c:v>4.7999999999999449E-3</c:v>
                </c:pt>
                <c:pt idx="24" formatCode="0.0%">
                  <c:v>5.0825000000000349E-3</c:v>
                </c:pt>
                <c:pt idx="25" formatCode="0.0%">
                  <c:v>5.3666666666666724E-3</c:v>
                </c:pt>
                <c:pt idx="26" formatCode="0.0%">
                  <c:v>5.6524999999999735E-3</c:v>
                </c:pt>
                <c:pt idx="27" formatCode="0.0%">
                  <c:v>5.9399999999999471E-3</c:v>
                </c:pt>
                <c:pt idx="28" formatCode="0.0%">
                  <c:v>6.2291666666667023E-3</c:v>
                </c:pt>
                <c:pt idx="29" formatCode="0.0%">
                  <c:v>6.5200000000000058E-3</c:v>
                </c:pt>
                <c:pt idx="30" formatCode="0.0%">
                  <c:v>6.8124999999999766E-3</c:v>
                </c:pt>
                <c:pt idx="31" formatCode="0.0%">
                  <c:v>7.1066666666666101E-3</c:v>
                </c:pt>
                <c:pt idx="32" formatCode="0.0%">
                  <c:v>7.4025000000000384E-3</c:v>
                </c:pt>
                <c:pt idx="33" formatCode="0.0%">
                  <c:v>7.7000000000000063E-3</c:v>
                </c:pt>
              </c:numCache>
            </c:numRef>
          </c:val>
          <c:extLst>
            <c:ext xmlns:c16="http://schemas.microsoft.com/office/drawing/2014/chart" uri="{C3380CC4-5D6E-409C-BE32-E72D297353CC}">
              <c16:uniqueId val="{00000010-A92E-4962-B0ED-A0675E65FC4C}"/>
            </c:ext>
          </c:extLst>
        </c:ser>
        <c:ser>
          <c:idx val="3"/>
          <c:order val="9"/>
          <c:tx>
            <c:strRef>
              <c:f>'Timing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calculations'!$FK$7:$FK$40</c:f>
              <c:numCache>
                <c:formatCode>0.00%</c:formatCode>
                <c:ptCount val="34"/>
                <c:pt idx="0">
                  <c:v>0</c:v>
                </c:pt>
                <c:pt idx="1">
                  <c:v>0</c:v>
                </c:pt>
                <c:pt idx="2">
                  <c:v>0</c:v>
                </c:pt>
                <c:pt idx="3">
                  <c:v>0</c:v>
                </c:pt>
                <c:pt idx="4" formatCode="0.0%">
                  <c:v>9.6319999999996064E-4</c:v>
                </c:pt>
                <c:pt idx="5" formatCode="0.0%">
                  <c:v>1.9328000000000329E-3</c:v>
                </c:pt>
                <c:pt idx="6" formatCode="0.0%">
                  <c:v>2.9087999999999935E-3</c:v>
                </c:pt>
                <c:pt idx="7" formatCode="0.0%">
                  <c:v>3.8911999999999541E-3</c:v>
                </c:pt>
                <c:pt idx="8" formatCode="0.0%">
                  <c:v>4.8800000000000275E-3</c:v>
                </c:pt>
                <c:pt idx="9" formatCode="0.0%">
                  <c:v>5.8751999999999876E-3</c:v>
                </c:pt>
                <c:pt idx="10" formatCode="0.0%">
                  <c:v>6.876799999999946E-3</c:v>
                </c:pt>
                <c:pt idx="11" formatCode="0.0%">
                  <c:v>7.8848000000000199E-3</c:v>
                </c:pt>
                <c:pt idx="12" formatCode="0.0%">
                  <c:v>8.8991999999999804E-3</c:v>
                </c:pt>
                <c:pt idx="13" formatCode="0.0%">
                  <c:v>9.9200000000000555E-3</c:v>
                </c:pt>
                <c:pt idx="14" formatCode="0.0%">
                  <c:v>1.0947200000000015E-2</c:v>
                </c:pt>
                <c:pt idx="15" formatCode="0.0%">
                  <c:v>1.1980799999999974E-2</c:v>
                </c:pt>
                <c:pt idx="16" formatCode="0.0%">
                  <c:v>1.3020800000000048E-2</c:v>
                </c:pt>
                <c:pt idx="17" formatCode="0.0%">
                  <c:v>1.4067200000000007E-2</c:v>
                </c:pt>
                <c:pt idx="18" formatCode="0.0%">
                  <c:v>1.5119999999999967E-2</c:v>
                </c:pt>
                <c:pt idx="19" formatCode="0.0%">
                  <c:v>1.6179200000000036E-2</c:v>
                </c:pt>
                <c:pt idx="20" formatCode="0.0%">
                  <c:v>1.7244800000000005E-2</c:v>
                </c:pt>
                <c:pt idx="21" formatCode="0.0%">
                  <c:v>1.8316799999999956E-2</c:v>
                </c:pt>
                <c:pt idx="22" formatCode="0.0%">
                  <c:v>1.9395200000000036E-2</c:v>
                </c:pt>
                <c:pt idx="23" formatCode="0.0%">
                  <c:v>2.0479999999999995E-2</c:v>
                </c:pt>
                <c:pt idx="24" formatCode="0.0%">
                  <c:v>2.1571199999999954E-2</c:v>
                </c:pt>
                <c:pt idx="25" formatCode="0.0%">
                  <c:v>2.2668800000000034E-2</c:v>
                </c:pt>
                <c:pt idx="26" formatCode="0.0%">
                  <c:v>2.3772799999999983E-2</c:v>
                </c:pt>
                <c:pt idx="27" formatCode="0.0%">
                  <c:v>2.4883199999999953E-2</c:v>
                </c:pt>
                <c:pt idx="28" formatCode="0.0%">
                  <c:v>2.600000000000002E-2</c:v>
                </c:pt>
                <c:pt idx="29" formatCode="0.0%">
                  <c:v>2.7123199999999979E-2</c:v>
                </c:pt>
                <c:pt idx="30" formatCode="0.0%">
                  <c:v>2.8252799999999939E-2</c:v>
                </c:pt>
                <c:pt idx="31" formatCode="0.0%">
                  <c:v>2.938880000000001E-2</c:v>
                </c:pt>
                <c:pt idx="32" formatCode="0.0%">
                  <c:v>3.0531199999999981E-2</c:v>
                </c:pt>
                <c:pt idx="33" formatCode="0.0%">
                  <c:v>3.1679999999999923E-2</c:v>
                </c:pt>
              </c:numCache>
            </c:numRef>
          </c:val>
          <c:extLst>
            <c:ext xmlns:c16="http://schemas.microsoft.com/office/drawing/2014/chart" uri="{C3380CC4-5D6E-409C-BE32-E72D297353CC}">
              <c16:uniqueId val="{00000012-A92E-4962-B0ED-A0675E65FC4C}"/>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7-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8-A92E-4962-B0ED-A0675E65FC4C}"/>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4-A92E-4962-B0ED-A0675E65FC4C}"/>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14-A92E-4962-B0ED-A0675E65F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15-A92E-4962-B0ED-A0675E65FC4C}"/>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6-A92E-4962-B0ED-A0675E65FC4C}"/>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40%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calculations'!$GT$6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calculations'!$GT$7:$GT$40</c:f>
              <c:numCache>
                <c:formatCode>0%</c:formatCode>
                <c:ptCount val="34"/>
                <c:pt idx="0">
                  <c:v>1</c:v>
                </c:pt>
                <c:pt idx="1">
                  <c:v>0.98333333333333328</c:v>
                </c:pt>
                <c:pt idx="2">
                  <c:v>0.96666666666666656</c:v>
                </c:pt>
                <c:pt idx="3" formatCode="0.00%">
                  <c:v>0.95</c:v>
                </c:pt>
                <c:pt idx="4" formatCode="0.00%">
                  <c:v>0.92126769893611948</c:v>
                </c:pt>
                <c:pt idx="5" formatCode="0.00%">
                  <c:v>0.89232233717856968</c:v>
                </c:pt>
                <c:pt idx="6" formatCode="0.00%">
                  <c:v>0.85999483580757585</c:v>
                </c:pt>
                <c:pt idx="7" formatCode="0.00%">
                  <c:v>0.82714867892189325</c:v>
                </c:pt>
                <c:pt idx="8" formatCode="0.00%">
                  <c:v>0.79290124951860519</c:v>
                </c:pt>
                <c:pt idx="9" formatCode="0.00%">
                  <c:v>0.75812377674864206</c:v>
                </c:pt>
                <c:pt idx="10" formatCode="0.00%">
                  <c:v>0.72281345130139474</c:v>
                </c:pt>
                <c:pt idx="11" formatCode="0.00%">
                  <c:v>0.6869674638662544</c:v>
                </c:pt>
                <c:pt idx="12" formatCode="0.00%">
                  <c:v>0.65058300513261269</c:v>
                </c:pt>
                <c:pt idx="13" formatCode="0.00%">
                  <c:v>0.61365726578986057</c:v>
                </c:pt>
                <c:pt idx="14" formatCode="0.00%">
                  <c:v>0.57618743652739002</c:v>
                </c:pt>
                <c:pt idx="15" formatCode="0.00%">
                  <c:v>0.53817070803459155</c:v>
                </c:pt>
                <c:pt idx="16" formatCode="0.00%">
                  <c:v>0.49960427100085669</c:v>
                </c:pt>
                <c:pt idx="17" formatCode="0.00%">
                  <c:v>0.46048531611557675</c:v>
                </c:pt>
                <c:pt idx="18" formatCode="0.00%">
                  <c:v>0.42081103406814369</c:v>
                </c:pt>
                <c:pt idx="19" formatCode="0.00%">
                  <c:v>0.40254099997617176</c:v>
                </c:pt>
                <c:pt idx="20" formatCode="0.00%">
                  <c:v>0.38384902253391862</c:v>
                </c:pt>
                <c:pt idx="21" formatCode="0.00%">
                  <c:v>0.37002231596018764</c:v>
                </c:pt>
                <c:pt idx="22" formatCode="0.00%">
                  <c:v>0.35580131800319326</c:v>
                </c:pt>
                <c:pt idx="23" formatCode="0.00%">
                  <c:v>0.34118321935232765</c:v>
                </c:pt>
                <c:pt idx="24" formatCode="0.00%">
                  <c:v>0.33089243196462303</c:v>
                </c:pt>
                <c:pt idx="25" formatCode="0.00%">
                  <c:v>0.32160122396701551</c:v>
                </c:pt>
                <c:pt idx="26" formatCode="0.00%">
                  <c:v>0.31224493653597674</c:v>
                </c:pt>
                <c:pt idx="27" formatCode="0.00%">
                  <c:v>0.30282356967150559</c:v>
                </c:pt>
                <c:pt idx="28" formatCode="0.00%">
                  <c:v>0.2933371233736024</c:v>
                </c:pt>
                <c:pt idx="29" formatCode="0.00%">
                  <c:v>0.28378559764226763</c:v>
                </c:pt>
                <c:pt idx="30" formatCode="0.00%">
                  <c:v>0.27416899247750093</c:v>
                </c:pt>
                <c:pt idx="31" formatCode="0.00%">
                  <c:v>0.2644873078793023</c:v>
                </c:pt>
                <c:pt idx="32" formatCode="0.00%">
                  <c:v>0.25474054384767097</c:v>
                </c:pt>
                <c:pt idx="33" formatCode="0.00%">
                  <c:v>0.24492870038260872</c:v>
                </c:pt>
              </c:numCache>
            </c:numRef>
          </c:val>
          <c:extLst>
            <c:ext xmlns:c16="http://schemas.microsoft.com/office/drawing/2014/chart" uri="{C3380CC4-5D6E-409C-BE32-E72D297353CC}">
              <c16:uniqueId val="{00000000-9867-4B0F-81AC-43CCB6477483}"/>
            </c:ext>
          </c:extLst>
        </c:ser>
        <c:ser>
          <c:idx val="11"/>
          <c:order val="1"/>
          <c:tx>
            <c:strRef>
              <c:f>'Timing calculations'!$GV$6</c:f>
              <c:strCache>
                <c:ptCount val="1"/>
                <c:pt idx="0">
                  <c:v>40%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calculations'!$GV$7:$GV$40</c:f>
              <c:numCache>
                <c:formatCode>0.00%</c:formatCode>
                <c:ptCount val="34"/>
                <c:pt idx="0">
                  <c:v>0</c:v>
                </c:pt>
                <c:pt idx="1">
                  <c:v>0</c:v>
                </c:pt>
                <c:pt idx="2">
                  <c:v>0</c:v>
                </c:pt>
                <c:pt idx="3">
                  <c:v>0</c:v>
                </c:pt>
                <c:pt idx="4" formatCode="0.0%">
                  <c:v>0</c:v>
                </c:pt>
                <c:pt idx="5" formatCode="0.0%">
                  <c:v>0</c:v>
                </c:pt>
                <c:pt idx="6" formatCode="0.0%">
                  <c:v>4.8767710766376825E-3</c:v>
                </c:pt>
                <c:pt idx="7" formatCode="0.0%">
                  <c:v>1.007040886971981E-2</c:v>
                </c:pt>
                <c:pt idx="8" formatCode="0.0%">
                  <c:v>1.5583722689855077E-2</c:v>
                </c:pt>
                <c:pt idx="9" formatCode="0.0%">
                  <c:v>2.1419521847652175E-2</c:v>
                </c:pt>
                <c:pt idx="10" formatCode="0.0%">
                  <c:v>2.7580615653719807E-2</c:v>
                </c:pt>
                <c:pt idx="11" formatCode="0.0%">
                  <c:v>3.4069813418666682E-2</c:v>
                </c:pt>
                <c:pt idx="12" formatCode="0.0%">
                  <c:v>4.0889924453101467E-2</c:v>
                </c:pt>
                <c:pt idx="13" formatCode="0.0%">
                  <c:v>4.8043758067632857E-2</c:v>
                </c:pt>
                <c:pt idx="14" formatCode="0.0%">
                  <c:v>5.5534123572869569E-2</c:v>
                </c:pt>
                <c:pt idx="15" formatCode="0.0%">
                  <c:v>6.3363830279420316E-2</c:v>
                </c:pt>
                <c:pt idx="16" formatCode="0.0%">
                  <c:v>7.1535687497893741E-2</c:v>
                </c:pt>
                <c:pt idx="17" formatCode="0.0%">
                  <c:v>8.0052504538898575E-2</c:v>
                </c:pt>
                <c:pt idx="18" formatCode="0.0%">
                  <c:v>8.8917090713043503E-2</c:v>
                </c:pt>
                <c:pt idx="19" formatCode="0.0%">
                  <c:v>9.8132255330937196E-2</c:v>
                </c:pt>
                <c:pt idx="20" formatCode="0.0%">
                  <c:v>0.10770080770318845</c:v>
                </c:pt>
                <c:pt idx="21" formatCode="0.0%">
                  <c:v>0.1176255571404058</c:v>
                </c:pt>
                <c:pt idx="22" formatCode="0.0%">
                  <c:v>0.1279093129531981</c:v>
                </c:pt>
                <c:pt idx="23" formatCode="0.0%">
                  <c:v>0.13855488445217393</c:v>
                </c:pt>
                <c:pt idx="24" formatCode="0.0%">
                  <c:v>0.14169323458226091</c:v>
                </c:pt>
                <c:pt idx="25" formatCode="0.0%">
                  <c:v>0.14484844057600005</c:v>
                </c:pt>
                <c:pt idx="26" formatCode="0.0%">
                  <c:v>0.14802050243339129</c:v>
                </c:pt>
                <c:pt idx="27" formatCode="0.0%">
                  <c:v>0.15120942015443484</c:v>
                </c:pt>
                <c:pt idx="28" formatCode="0.0%">
                  <c:v>0.15441519373913046</c:v>
                </c:pt>
                <c:pt idx="29" formatCode="0.0%">
                  <c:v>0.15763782318747829</c:v>
                </c:pt>
                <c:pt idx="30" formatCode="0.0%">
                  <c:v>0.16087730849947829</c:v>
                </c:pt>
                <c:pt idx="31" formatCode="0.0%">
                  <c:v>0.16413364967513042</c:v>
                </c:pt>
                <c:pt idx="32" formatCode="0.0%">
                  <c:v>0.16740684671443484</c:v>
                </c:pt>
                <c:pt idx="33" formatCode="0.0%">
                  <c:v>0.17069689961739132</c:v>
                </c:pt>
              </c:numCache>
            </c:numRef>
          </c:val>
          <c:extLst>
            <c:ext xmlns:c16="http://schemas.microsoft.com/office/drawing/2014/chart" uri="{C3380CC4-5D6E-409C-BE32-E72D297353CC}">
              <c16:uniqueId val="{00000001-9867-4B0F-81AC-43CCB6477483}"/>
            </c:ext>
          </c:extLst>
        </c:ser>
        <c:ser>
          <c:idx val="4"/>
          <c:order val="2"/>
          <c:tx>
            <c:strRef>
              <c:f>'Timing calculations'!$GW$6</c:f>
              <c:strCache>
                <c:ptCount val="1"/>
                <c:pt idx="0">
                  <c:v>ICE fuel efficiency@40%BEV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calculations'!$GW$7:$GW$40</c:f>
              <c:numCache>
                <c:formatCode>0.00%</c:formatCode>
                <c:ptCount val="34"/>
                <c:pt idx="0">
                  <c:v>0</c:v>
                </c:pt>
                <c:pt idx="1">
                  <c:v>0</c:v>
                </c:pt>
                <c:pt idx="2">
                  <c:v>0</c:v>
                </c:pt>
                <c:pt idx="3">
                  <c:v>0</c:v>
                </c:pt>
                <c:pt idx="4" formatCode="0.0%">
                  <c:v>5.0072235294117617E-3</c:v>
                </c:pt>
                <c:pt idx="5" formatCode="0.0%">
                  <c:v>1.0047717647058819E-2</c:v>
                </c:pt>
                <c:pt idx="6" formatCode="0.0%">
                  <c:v>1.3161290196078427E-2</c:v>
                </c:pt>
                <c:pt idx="7" formatCode="0.0%">
                  <c:v>1.6295194771241826E-2</c:v>
                </c:pt>
                <c:pt idx="8" formatCode="0.0%">
                  <c:v>1.9449431372549012E-2</c:v>
                </c:pt>
                <c:pt idx="9" formatCode="0.0%">
                  <c:v>2.2623999999999991E-2</c:v>
                </c:pt>
                <c:pt idx="10" formatCode="0.0%">
                  <c:v>2.5818900653594757E-2</c:v>
                </c:pt>
                <c:pt idx="11" formatCode="0.0%">
                  <c:v>2.9034133333333319E-2</c:v>
                </c:pt>
                <c:pt idx="12" formatCode="0.0%">
                  <c:v>3.2269698039215672E-2</c:v>
                </c:pt>
                <c:pt idx="13" formatCode="0.0%">
                  <c:v>3.5525594771241821E-2</c:v>
                </c:pt>
                <c:pt idx="14" formatCode="0.0%">
                  <c:v>3.8801823529411736E-2</c:v>
                </c:pt>
                <c:pt idx="15" formatCode="0.0%">
                  <c:v>4.2098384313725479E-2</c:v>
                </c:pt>
                <c:pt idx="16" formatCode="0.0%">
                  <c:v>4.5415277124182973E-2</c:v>
                </c:pt>
                <c:pt idx="17" formatCode="0.0%">
                  <c:v>4.8752501960784296E-2</c:v>
                </c:pt>
                <c:pt idx="18" formatCode="0.0%">
                  <c:v>5.2110058823529398E-2</c:v>
                </c:pt>
                <c:pt idx="19" formatCode="0.0%">
                  <c:v>5.5487947712418266E-2</c:v>
                </c:pt>
                <c:pt idx="20" formatCode="0.0%">
                  <c:v>5.8886168627450983E-2</c:v>
                </c:pt>
                <c:pt idx="21" formatCode="0.0%">
                  <c:v>5.7014698039215661E-2</c:v>
                </c:pt>
                <c:pt idx="22" formatCode="0.0%">
                  <c:v>5.5130288888888879E-2</c:v>
                </c:pt>
                <c:pt idx="23" formatCode="0.0%">
                  <c:v>5.3232941176470559E-2</c:v>
                </c:pt>
                <c:pt idx="24" formatCode="0.0%">
                  <c:v>5.4467279999999993E-2</c:v>
                </c:pt>
                <c:pt idx="25" formatCode="0.0%">
                  <c:v>5.4636959999999998E-2</c:v>
                </c:pt>
                <c:pt idx="26" formatCode="0.0%">
                  <c:v>5.4806639999999976E-2</c:v>
                </c:pt>
                <c:pt idx="27" formatCode="0.0%">
                  <c:v>5.4976320000000002E-2</c:v>
                </c:pt>
                <c:pt idx="28" formatCode="0.0%">
                  <c:v>5.5145999999999987E-2</c:v>
                </c:pt>
                <c:pt idx="29" formatCode="0.0%">
                  <c:v>5.5315679999999992E-2</c:v>
                </c:pt>
                <c:pt idx="30" formatCode="0.0%">
                  <c:v>5.5485359999999997E-2</c:v>
                </c:pt>
                <c:pt idx="31" formatCode="0.0%">
                  <c:v>5.5655039999999975E-2</c:v>
                </c:pt>
                <c:pt idx="32" formatCode="0.0%">
                  <c:v>5.5824720000000001E-2</c:v>
                </c:pt>
                <c:pt idx="33" formatCode="0.0%">
                  <c:v>5.5994399999999986E-2</c:v>
                </c:pt>
              </c:numCache>
            </c:numRef>
          </c:val>
          <c:extLst>
            <c:ext xmlns:c16="http://schemas.microsoft.com/office/drawing/2014/chart" uri="{C3380CC4-5D6E-409C-BE32-E72D297353CC}">
              <c16:uniqueId val="{00000002-9867-4B0F-81AC-43CCB6477483}"/>
            </c:ext>
          </c:extLst>
        </c:ser>
        <c:ser>
          <c:idx val="0"/>
          <c:order val="3"/>
          <c:tx>
            <c:strRef>
              <c:f>'Timing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calculations'!$FE$7:$FE$40</c:f>
              <c:numCache>
                <c:formatCode>0.00%</c:formatCode>
                <c:ptCount val="34"/>
                <c:pt idx="0">
                  <c:v>0</c:v>
                </c:pt>
                <c:pt idx="1">
                  <c:v>0</c:v>
                </c:pt>
                <c:pt idx="2">
                  <c:v>0</c:v>
                </c:pt>
                <c:pt idx="3">
                  <c:v>0</c:v>
                </c:pt>
                <c:pt idx="4" formatCode="0.0%">
                  <c:v>1.6404866180048626E-2</c:v>
                </c:pt>
                <c:pt idx="5" formatCode="0.0%">
                  <c:v>3.2918734793187389E-2</c:v>
                </c:pt>
                <c:pt idx="6" formatCode="0.0%">
                  <c:v>4.9541605839416067E-2</c:v>
                </c:pt>
                <c:pt idx="7" formatCode="0.0%">
                  <c:v>6.6273479318734771E-2</c:v>
                </c:pt>
                <c:pt idx="8" formatCode="0.0%">
                  <c:v>8.3114355231143619E-2</c:v>
                </c:pt>
                <c:pt idx="9" formatCode="0.0%">
                  <c:v>0.10006423357664236</c:v>
                </c:pt>
                <c:pt idx="10" formatCode="0.0%">
                  <c:v>0.11712311435523112</c:v>
                </c:pt>
                <c:pt idx="11" formatCode="0.0%">
                  <c:v>0.13429099756690993</c:v>
                </c:pt>
                <c:pt idx="12" formatCode="0.0%">
                  <c:v>0.15156788321167874</c:v>
                </c:pt>
                <c:pt idx="13" formatCode="0.0%">
                  <c:v>0.16895377128953773</c:v>
                </c:pt>
                <c:pt idx="14" formatCode="0.0%">
                  <c:v>0.18644866180048658</c:v>
                </c:pt>
                <c:pt idx="15" formatCode="0.0%">
                  <c:v>0.20405255474452549</c:v>
                </c:pt>
                <c:pt idx="16" formatCode="0.0%">
                  <c:v>0.22176545012165449</c:v>
                </c:pt>
                <c:pt idx="17" formatCode="0.0%">
                  <c:v>0.23958734793187345</c:v>
                </c:pt>
                <c:pt idx="18" formatCode="0.0%">
                  <c:v>0.25751824817518243</c:v>
                </c:pt>
                <c:pt idx="19" formatCode="0.0%">
                  <c:v>0.25833576642335754</c:v>
                </c:pt>
                <c:pt idx="20" formatCode="0.0%">
                  <c:v>0.25915328467153281</c:v>
                </c:pt>
                <c:pt idx="21" formatCode="0.0%">
                  <c:v>0.25997080291970803</c:v>
                </c:pt>
                <c:pt idx="22" formatCode="0.0%">
                  <c:v>0.26078832116788325</c:v>
                </c:pt>
                <c:pt idx="23" formatCode="0.0%">
                  <c:v>0.26160583941605842</c:v>
                </c:pt>
                <c:pt idx="24" formatCode="0.0%">
                  <c:v>0.26242335766423358</c:v>
                </c:pt>
                <c:pt idx="25" formatCode="0.0%">
                  <c:v>0.2632408759124088</c:v>
                </c:pt>
                <c:pt idx="26" formatCode="0.0%">
                  <c:v>0.26405839416058391</c:v>
                </c:pt>
                <c:pt idx="27" formatCode="0.0%">
                  <c:v>0.26487591240875918</c:v>
                </c:pt>
                <c:pt idx="28" formatCode="0.0%">
                  <c:v>0.26569343065693429</c:v>
                </c:pt>
                <c:pt idx="29" formatCode="0.0%">
                  <c:v>0.26651094890510951</c:v>
                </c:pt>
                <c:pt idx="30" formatCode="0.0%">
                  <c:v>0.26732846715328468</c:v>
                </c:pt>
                <c:pt idx="31" formatCode="0.0%">
                  <c:v>0.26814598540145979</c:v>
                </c:pt>
                <c:pt idx="32" formatCode="0.0%">
                  <c:v>0.26896350364963512</c:v>
                </c:pt>
                <c:pt idx="33" formatCode="0.0%">
                  <c:v>0.26978102189781017</c:v>
                </c:pt>
              </c:numCache>
            </c:numRef>
          </c:val>
          <c:extLst>
            <c:ext xmlns:c16="http://schemas.microsoft.com/office/drawing/2014/chart" uri="{C3380CC4-5D6E-409C-BE32-E72D297353CC}">
              <c16:uniqueId val="{00000004-9867-4B0F-81AC-43CCB6477483}"/>
            </c:ext>
          </c:extLst>
        </c:ser>
        <c:ser>
          <c:idx val="12"/>
          <c:order val="4"/>
          <c:tx>
            <c:strRef>
              <c:f>'Timing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calculations'!$FF$7:$FF$40</c:f>
              <c:numCache>
                <c:formatCode>0.00%</c:formatCode>
                <c:ptCount val="34"/>
                <c:pt idx="0">
                  <c:v>0</c:v>
                </c:pt>
                <c:pt idx="1">
                  <c:v>0</c:v>
                </c:pt>
                <c:pt idx="2">
                  <c:v>0</c:v>
                </c:pt>
                <c:pt idx="3">
                  <c:v>0</c:v>
                </c:pt>
                <c:pt idx="4" formatCode="0.0%">
                  <c:v>3.4909164639092124E-3</c:v>
                </c:pt>
                <c:pt idx="5" formatCode="0.0%">
                  <c:v>7.0050283860502681E-3</c:v>
                </c:pt>
                <c:pt idx="6" formatCode="0.0%">
                  <c:v>1.0542335766423392E-2</c:v>
                </c:pt>
                <c:pt idx="7" formatCode="0.0%">
                  <c:v>1.4102838605028357E-2</c:v>
                </c:pt>
                <c:pt idx="8" formatCode="0.0%">
                  <c:v>1.7686536901865391E-2</c:v>
                </c:pt>
                <c:pt idx="9" formatCode="0.0%">
                  <c:v>2.1293430656934259E-2</c:v>
                </c:pt>
                <c:pt idx="10" formatCode="0.0%">
                  <c:v>2.4923519870235198E-2</c:v>
                </c:pt>
                <c:pt idx="11" formatCode="0.0%">
                  <c:v>2.8576804541768096E-2</c:v>
                </c:pt>
                <c:pt idx="12" formatCode="0.0%">
                  <c:v>3.2253284671532836E-2</c:v>
                </c:pt>
                <c:pt idx="13" formatCode="0.0%">
                  <c:v>3.595296025952964E-2</c:v>
                </c:pt>
                <c:pt idx="14" formatCode="0.0%">
                  <c:v>3.9675831305758281E-2</c:v>
                </c:pt>
                <c:pt idx="15" formatCode="0.0%">
                  <c:v>4.3421897810218997E-2</c:v>
                </c:pt>
                <c:pt idx="16" formatCode="0.0%">
                  <c:v>4.7191159772911551E-2</c:v>
                </c:pt>
                <c:pt idx="17" formatCode="0.0%">
                  <c:v>5.0983617193836178E-2</c:v>
                </c:pt>
                <c:pt idx="18" formatCode="0.0%">
                  <c:v>5.4799270072992644E-2</c:v>
                </c:pt>
                <c:pt idx="19" formatCode="0.0%">
                  <c:v>5.8638118410381156E-2</c:v>
                </c:pt>
                <c:pt idx="20" formatCode="0.0%">
                  <c:v>6.2500162206001672E-2</c:v>
                </c:pt>
                <c:pt idx="21" formatCode="0.0%">
                  <c:v>6.6385401459853971E-2</c:v>
                </c:pt>
                <c:pt idx="22" formatCode="0.0%">
                  <c:v>7.0293836171938379E-2</c:v>
                </c:pt>
                <c:pt idx="23" formatCode="0.0%">
                  <c:v>7.4225466342254742E-2</c:v>
                </c:pt>
                <c:pt idx="24" formatCode="0.0%">
                  <c:v>7.8180291970802937E-2</c:v>
                </c:pt>
                <c:pt idx="25" formatCode="0.0%">
                  <c:v>8.2158313057583199E-2</c:v>
                </c:pt>
                <c:pt idx="26" formatCode="0.0%">
                  <c:v>8.6159529602595264E-2</c:v>
                </c:pt>
                <c:pt idx="27" formatCode="0.0%">
                  <c:v>9.0183941605839479E-2</c:v>
                </c:pt>
                <c:pt idx="28" formatCode="0.0%">
                  <c:v>9.4231549067315581E-2</c:v>
                </c:pt>
                <c:pt idx="29" formatCode="0.0%">
                  <c:v>9.8302351987023542E-2</c:v>
                </c:pt>
                <c:pt idx="30" formatCode="0.0%">
                  <c:v>0.10239635036496358</c:v>
                </c:pt>
                <c:pt idx="31" formatCode="0.0%">
                  <c:v>0.10651354420113543</c:v>
                </c:pt>
                <c:pt idx="32" formatCode="0.0%">
                  <c:v>0.11065393349553942</c:v>
                </c:pt>
                <c:pt idx="33" formatCode="0.0%">
                  <c:v>0.11481751824817528</c:v>
                </c:pt>
              </c:numCache>
            </c:numRef>
          </c:val>
          <c:extLst>
            <c:ext xmlns:c16="http://schemas.microsoft.com/office/drawing/2014/chart" uri="{C3380CC4-5D6E-409C-BE32-E72D297353CC}">
              <c16:uniqueId val="{00000006-9867-4B0F-81AC-43CCB6477483}"/>
            </c:ext>
          </c:extLst>
        </c:ser>
        <c:ser>
          <c:idx val="7"/>
          <c:order val="5"/>
          <c:tx>
            <c:strRef>
              <c:f>'Timing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calculations'!$FG$7:$FG$40</c:f>
              <c:numCache>
                <c:formatCode>0.00%</c:formatCode>
                <c:ptCount val="34"/>
                <c:pt idx="0">
                  <c:v>0</c:v>
                </c:pt>
                <c:pt idx="1">
                  <c:v>0</c:v>
                </c:pt>
                <c:pt idx="2">
                  <c:v>0</c:v>
                </c:pt>
                <c:pt idx="3">
                  <c:v>0</c:v>
                </c:pt>
                <c:pt idx="4" formatCode="0.0%">
                  <c:v>1.684428223844281E-3</c:v>
                </c:pt>
                <c:pt idx="5" formatCode="0.0%">
                  <c:v>3.3800486618004843E-3</c:v>
                </c:pt>
                <c:pt idx="6" formatCode="0.0%">
                  <c:v>5.0868613138686106E-3</c:v>
                </c:pt>
                <c:pt idx="7" formatCode="0.0%">
                  <c:v>6.8048661800486588E-3</c:v>
                </c:pt>
                <c:pt idx="8" formatCode="0.0%">
                  <c:v>8.534063260340629E-3</c:v>
                </c:pt>
                <c:pt idx="9" formatCode="0.0%">
                  <c:v>1.0274452554744519E-2</c:v>
                </c:pt>
                <c:pt idx="10" formatCode="0.0%">
                  <c:v>1.2026034063260332E-2</c:v>
                </c:pt>
                <c:pt idx="11" formatCode="0.0%">
                  <c:v>1.378880778588807E-2</c:v>
                </c:pt>
                <c:pt idx="12" formatCode="0.0%">
                  <c:v>1.5562773722627729E-2</c:v>
                </c:pt>
                <c:pt idx="13" formatCode="0.0%">
                  <c:v>1.734793187347931E-2</c:v>
                </c:pt>
                <c:pt idx="14" formatCode="0.0%">
                  <c:v>1.9144282238442809E-2</c:v>
                </c:pt>
                <c:pt idx="15" formatCode="0.0%">
                  <c:v>2.0951824817518238E-2</c:v>
                </c:pt>
                <c:pt idx="16" formatCode="0.0%">
                  <c:v>2.2770559610705583E-2</c:v>
                </c:pt>
                <c:pt idx="17" formatCode="0.0%">
                  <c:v>2.460048661800485E-2</c:v>
                </c:pt>
                <c:pt idx="18" formatCode="0.0%">
                  <c:v>2.6441605839416044E-2</c:v>
                </c:pt>
                <c:pt idx="19" formatCode="0.0%">
                  <c:v>2.829391727493915E-2</c:v>
                </c:pt>
                <c:pt idx="20" formatCode="0.0%">
                  <c:v>3.0157420924574199E-2</c:v>
                </c:pt>
                <c:pt idx="21" formatCode="0.0%">
                  <c:v>3.2032116788321144E-2</c:v>
                </c:pt>
                <c:pt idx="22" formatCode="0.0%">
                  <c:v>3.3918004866180025E-2</c:v>
                </c:pt>
                <c:pt idx="23" formatCode="0.0%">
                  <c:v>3.5815085158150829E-2</c:v>
                </c:pt>
                <c:pt idx="24" formatCode="0.0%">
                  <c:v>3.7723357664233556E-2</c:v>
                </c:pt>
                <c:pt idx="25" formatCode="0.0%">
                  <c:v>3.9642822384428206E-2</c:v>
                </c:pt>
                <c:pt idx="26" formatCode="0.0%">
                  <c:v>4.1573479318734764E-2</c:v>
                </c:pt>
                <c:pt idx="27" formatCode="0.0%">
                  <c:v>4.3515328467153273E-2</c:v>
                </c:pt>
                <c:pt idx="28" formatCode="0.0%">
                  <c:v>4.5468369829683671E-2</c:v>
                </c:pt>
                <c:pt idx="29" formatCode="0.0%">
                  <c:v>4.7432603406326004E-2</c:v>
                </c:pt>
                <c:pt idx="30" formatCode="0.0%">
                  <c:v>4.9408029197080268E-2</c:v>
                </c:pt>
                <c:pt idx="31" formatCode="0.0%">
                  <c:v>5.1394647201946426E-2</c:v>
                </c:pt>
                <c:pt idx="32" formatCode="0.0%">
                  <c:v>5.3392457420924556E-2</c:v>
                </c:pt>
                <c:pt idx="33" formatCode="0.0%">
                  <c:v>5.5401459854014561E-2</c:v>
                </c:pt>
              </c:numCache>
            </c:numRef>
          </c:val>
          <c:extLst>
            <c:ext xmlns:c16="http://schemas.microsoft.com/office/drawing/2014/chart" uri="{C3380CC4-5D6E-409C-BE32-E72D297353CC}">
              <c16:uniqueId val="{00000008-9867-4B0F-81AC-43CCB6477483}"/>
            </c:ext>
          </c:extLst>
        </c:ser>
        <c:ser>
          <c:idx val="5"/>
          <c:order val="6"/>
          <c:tx>
            <c:strRef>
              <c:f>'Timing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calculations'!$FH$7:$FH$40</c:f>
              <c:numCache>
                <c:formatCode>0.00%</c:formatCode>
                <c:ptCount val="34"/>
                <c:pt idx="0">
                  <c:v>0</c:v>
                </c:pt>
                <c:pt idx="1">
                  <c:v>0</c:v>
                </c:pt>
                <c:pt idx="2">
                  <c:v>0</c:v>
                </c:pt>
                <c:pt idx="3">
                  <c:v>0</c:v>
                </c:pt>
                <c:pt idx="4" formatCode="0.0%">
                  <c:v>4.5149999999999479E-3</c:v>
                </c:pt>
                <c:pt idx="5" formatCode="0.0%">
                  <c:v>9.0600000000000073E-3</c:v>
                </c:pt>
                <c:pt idx="6" formatCode="0.0%">
                  <c:v>1.3634999999999956E-2</c:v>
                </c:pt>
                <c:pt idx="7" formatCode="0.0%">
                  <c:v>1.8240000000000017E-2</c:v>
                </c:pt>
                <c:pt idx="8" formatCode="0.0%">
                  <c:v>2.2874999999999968E-2</c:v>
                </c:pt>
                <c:pt idx="9" formatCode="0.0%">
                  <c:v>2.7540000000000026E-2</c:v>
                </c:pt>
                <c:pt idx="10" formatCode="0.0%">
                  <c:v>3.2234999999999965E-2</c:v>
                </c:pt>
                <c:pt idx="11" formatCode="0.0%">
                  <c:v>3.6960000000000028E-2</c:v>
                </c:pt>
                <c:pt idx="12" formatCode="0.0%">
                  <c:v>4.1714999999999981E-2</c:v>
                </c:pt>
                <c:pt idx="13" formatCode="0.0%">
                  <c:v>4.6500000000000048E-2</c:v>
                </c:pt>
                <c:pt idx="14" formatCode="0.0%">
                  <c:v>5.1314999999999986E-2</c:v>
                </c:pt>
                <c:pt idx="15" formatCode="0.0%">
                  <c:v>5.616000000000005E-2</c:v>
                </c:pt>
                <c:pt idx="16" formatCode="0.0%">
                  <c:v>6.1034999999999992E-2</c:v>
                </c:pt>
                <c:pt idx="17" formatCode="0.0%">
                  <c:v>6.5940000000000054E-2</c:v>
                </c:pt>
                <c:pt idx="18" formatCode="0.0%">
                  <c:v>7.0875000000000007E-2</c:v>
                </c:pt>
                <c:pt idx="19" formatCode="0.0%">
                  <c:v>7.1099999999999983E-2</c:v>
                </c:pt>
                <c:pt idx="20" formatCode="0.0%">
                  <c:v>7.1325000000000013E-2</c:v>
                </c:pt>
                <c:pt idx="21" formatCode="0.0%">
                  <c:v>7.1549999999999989E-2</c:v>
                </c:pt>
                <c:pt idx="22" formatCode="0.0%">
                  <c:v>7.1775000000000005E-2</c:v>
                </c:pt>
                <c:pt idx="23" formatCode="0.0%">
                  <c:v>7.2000000000000008E-2</c:v>
                </c:pt>
                <c:pt idx="24" formatCode="0.0%">
                  <c:v>7.2225000000000011E-2</c:v>
                </c:pt>
                <c:pt idx="25" formatCode="0.0%">
                  <c:v>7.2450000000000014E-2</c:v>
                </c:pt>
                <c:pt idx="26" formatCode="0.0%">
                  <c:v>7.267499999999999E-2</c:v>
                </c:pt>
                <c:pt idx="27" formatCode="0.0%">
                  <c:v>7.290000000000002E-2</c:v>
                </c:pt>
                <c:pt idx="28" formatCode="0.0%">
                  <c:v>7.3124999999999996E-2</c:v>
                </c:pt>
                <c:pt idx="29" formatCode="0.0%">
                  <c:v>7.3349999999999999E-2</c:v>
                </c:pt>
                <c:pt idx="30" formatCode="0.0%">
                  <c:v>7.3575000000000015E-2</c:v>
                </c:pt>
                <c:pt idx="31" formatCode="0.0%">
                  <c:v>7.3799999999999991E-2</c:v>
                </c:pt>
                <c:pt idx="32" formatCode="0.0%">
                  <c:v>7.4025000000000021E-2</c:v>
                </c:pt>
                <c:pt idx="33" formatCode="0.0%">
                  <c:v>7.4249999999999997E-2</c:v>
                </c:pt>
              </c:numCache>
            </c:numRef>
          </c:val>
          <c:extLst>
            <c:ext xmlns:c16="http://schemas.microsoft.com/office/drawing/2014/chart" uri="{C3380CC4-5D6E-409C-BE32-E72D297353CC}">
              <c16:uniqueId val="{0000000A-9867-4B0F-81AC-43CCB6477483}"/>
            </c:ext>
          </c:extLst>
        </c:ser>
        <c:ser>
          <c:idx val="9"/>
          <c:order val="7"/>
          <c:tx>
            <c:strRef>
              <c:f>'Timing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8.798076923077345E-4</c:v>
                </c:pt>
                <c:pt idx="9" formatCode="0.0%">
                  <c:v>1.7653846153845864E-3</c:v>
                </c:pt>
                <c:pt idx="10" formatCode="0.0%">
                  <c:v>2.6567307692307823E-3</c:v>
                </c:pt>
                <c:pt idx="11" formatCode="0.0%">
                  <c:v>3.5538461538462095E-3</c:v>
                </c:pt>
                <c:pt idx="12" formatCode="0.0%">
                  <c:v>4.4567307692307536E-3</c:v>
                </c:pt>
                <c:pt idx="13" formatCode="0.0%">
                  <c:v>5.3653846153846425E-3</c:v>
                </c:pt>
                <c:pt idx="14" formatCode="0.0%">
                  <c:v>6.2798076923076471E-3</c:v>
                </c:pt>
                <c:pt idx="15" formatCode="0.0%">
                  <c:v>7.1999999999999981E-3</c:v>
                </c:pt>
                <c:pt idx="16" formatCode="0.0%">
                  <c:v>8.1259615384615784E-3</c:v>
                </c:pt>
                <c:pt idx="17" formatCode="0.0%">
                  <c:v>9.0576923076922753E-3</c:v>
                </c:pt>
                <c:pt idx="18" formatCode="0.0%">
                  <c:v>9.9951923076923195E-3</c:v>
                </c:pt>
                <c:pt idx="19" formatCode="0.0%">
                  <c:v>1.093846153846159E-2</c:v>
                </c:pt>
                <c:pt idx="20" formatCode="0.0%">
                  <c:v>1.1887499999999983E-2</c:v>
                </c:pt>
                <c:pt idx="21" formatCode="0.0%">
                  <c:v>1.2842307692307715E-2</c:v>
                </c:pt>
                <c:pt idx="22" formatCode="0.0%">
                  <c:v>1.3802884615384566E-2</c:v>
                </c:pt>
                <c:pt idx="23" formatCode="0.0%">
                  <c:v>1.4769230769230764E-2</c:v>
                </c:pt>
                <c:pt idx="24" formatCode="0.0%">
                  <c:v>1.5741346153846193E-2</c:v>
                </c:pt>
                <c:pt idx="25" formatCode="0.0%">
                  <c:v>1.6719230769230736E-2</c:v>
                </c:pt>
                <c:pt idx="26" formatCode="0.0%">
                  <c:v>1.770288461538462E-2</c:v>
                </c:pt>
                <c:pt idx="27" formatCode="0.0%">
                  <c:v>1.8692307692307751E-2</c:v>
                </c:pt>
                <c:pt idx="28" formatCode="0.0%">
                  <c:v>1.9687499999999976E-2</c:v>
                </c:pt>
                <c:pt idx="29" formatCode="0.0%">
                  <c:v>2.0688461538461562E-2</c:v>
                </c:pt>
                <c:pt idx="30" formatCode="0.0%">
                  <c:v>2.1695192307692256E-2</c:v>
                </c:pt>
                <c:pt idx="31" formatCode="0.0%">
                  <c:v>2.2707692307692293E-2</c:v>
                </c:pt>
                <c:pt idx="32" formatCode="0.0%">
                  <c:v>2.3725961538461581E-2</c:v>
                </c:pt>
                <c:pt idx="33" formatCode="0.0%">
                  <c:v>2.474999999999996E-2</c:v>
                </c:pt>
              </c:numCache>
            </c:numRef>
          </c:val>
          <c:extLst>
            <c:ext xmlns:c16="http://schemas.microsoft.com/office/drawing/2014/chart" uri="{C3380CC4-5D6E-409C-BE32-E72D297353CC}">
              <c16:uniqueId val="{0000000C-9867-4B0F-81AC-43CCB6477483}"/>
            </c:ext>
          </c:extLst>
        </c:ser>
        <c:ser>
          <c:idx val="6"/>
          <c:order val="8"/>
          <c:tx>
            <c:strRef>
              <c:f>'Timing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calculations'!$FJ$7:$FJ$40</c:f>
              <c:numCache>
                <c:formatCode>0.00%</c:formatCode>
                <c:ptCount val="34"/>
                <c:pt idx="0">
                  <c:v>0</c:v>
                </c:pt>
                <c:pt idx="1">
                  <c:v>0</c:v>
                </c:pt>
                <c:pt idx="2">
                  <c:v>0</c:v>
                </c:pt>
                <c:pt idx="3">
                  <c:v>0</c:v>
                </c:pt>
                <c:pt idx="4" formatCode="0.0%">
                  <c:v>0</c:v>
                </c:pt>
                <c:pt idx="5" formatCode="0.0%">
                  <c:v>0</c:v>
                </c:pt>
                <c:pt idx="6" formatCode="0.0%">
                  <c:v>2.524999999999722E-4</c:v>
                </c:pt>
                <c:pt idx="7" formatCode="0.0%">
                  <c:v>5.0666666666661093E-4</c:v>
                </c:pt>
                <c:pt idx="8" formatCode="0.0%">
                  <c:v>7.62500000000029E-4</c:v>
                </c:pt>
                <c:pt idx="9" formatCode="0.0%">
                  <c:v>1.0200000000000009E-3</c:v>
                </c:pt>
                <c:pt idx="10" formatCode="0.0%">
                  <c:v>1.2791666666666392E-3</c:v>
                </c:pt>
                <c:pt idx="11" formatCode="0.0%">
                  <c:v>1.5399999999999444E-3</c:v>
                </c:pt>
                <c:pt idx="12" formatCode="0.0%">
                  <c:v>1.8025000000000302E-3</c:v>
                </c:pt>
                <c:pt idx="13" formatCode="0.0%">
                  <c:v>2.0666666666666689E-3</c:v>
                </c:pt>
                <c:pt idx="14" formatCode="0.0%">
                  <c:v>2.332499999999973E-3</c:v>
                </c:pt>
                <c:pt idx="15" formatCode="0.0%">
                  <c:v>2.5999999999999448E-3</c:v>
                </c:pt>
                <c:pt idx="16" formatCode="0.0%">
                  <c:v>2.8691666666666978E-3</c:v>
                </c:pt>
                <c:pt idx="17" formatCode="0.0%">
                  <c:v>3.1400000000000026E-3</c:v>
                </c:pt>
                <c:pt idx="18" formatCode="0.0%">
                  <c:v>3.4124999999999741E-3</c:v>
                </c:pt>
                <c:pt idx="19" formatCode="0.0%">
                  <c:v>3.6866666666666103E-3</c:v>
                </c:pt>
                <c:pt idx="20" formatCode="0.0%">
                  <c:v>3.9625000000000337E-3</c:v>
                </c:pt>
                <c:pt idx="21" formatCode="0.0%">
                  <c:v>4.2400000000000033E-3</c:v>
                </c:pt>
                <c:pt idx="22" formatCode="0.0%">
                  <c:v>4.519166666666641E-3</c:v>
                </c:pt>
                <c:pt idx="23" formatCode="0.0%">
                  <c:v>4.7999999999999449E-3</c:v>
                </c:pt>
                <c:pt idx="24" formatCode="0.0%">
                  <c:v>5.0825000000000349E-3</c:v>
                </c:pt>
                <c:pt idx="25" formatCode="0.0%">
                  <c:v>5.3666666666666724E-3</c:v>
                </c:pt>
                <c:pt idx="26" formatCode="0.0%">
                  <c:v>5.6524999999999735E-3</c:v>
                </c:pt>
                <c:pt idx="27" formatCode="0.0%">
                  <c:v>5.9399999999999471E-3</c:v>
                </c:pt>
                <c:pt idx="28" formatCode="0.0%">
                  <c:v>6.2291666666667023E-3</c:v>
                </c:pt>
                <c:pt idx="29" formatCode="0.0%">
                  <c:v>6.5200000000000058E-3</c:v>
                </c:pt>
                <c:pt idx="30" formatCode="0.0%">
                  <c:v>6.8124999999999766E-3</c:v>
                </c:pt>
                <c:pt idx="31" formatCode="0.0%">
                  <c:v>7.1066666666666101E-3</c:v>
                </c:pt>
                <c:pt idx="32" formatCode="0.0%">
                  <c:v>7.4025000000000384E-3</c:v>
                </c:pt>
                <c:pt idx="33" formatCode="0.0%">
                  <c:v>7.7000000000000063E-3</c:v>
                </c:pt>
              </c:numCache>
            </c:numRef>
          </c:val>
          <c:extLst>
            <c:ext xmlns:c16="http://schemas.microsoft.com/office/drawing/2014/chart" uri="{C3380CC4-5D6E-409C-BE32-E72D297353CC}">
              <c16:uniqueId val="{0000000D-9867-4B0F-81AC-43CCB6477483}"/>
            </c:ext>
          </c:extLst>
        </c:ser>
        <c:ser>
          <c:idx val="3"/>
          <c:order val="9"/>
          <c:tx>
            <c:strRef>
              <c:f>'Timing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calculations'!$FK$7:$FK$40</c:f>
              <c:numCache>
                <c:formatCode>0.00%</c:formatCode>
                <c:ptCount val="34"/>
                <c:pt idx="0">
                  <c:v>0</c:v>
                </c:pt>
                <c:pt idx="1">
                  <c:v>0</c:v>
                </c:pt>
                <c:pt idx="2">
                  <c:v>0</c:v>
                </c:pt>
                <c:pt idx="3">
                  <c:v>0</c:v>
                </c:pt>
                <c:pt idx="4" formatCode="0.0%">
                  <c:v>9.6319999999996064E-4</c:v>
                </c:pt>
                <c:pt idx="5" formatCode="0.0%">
                  <c:v>1.9328000000000329E-3</c:v>
                </c:pt>
                <c:pt idx="6" formatCode="0.0%">
                  <c:v>2.9087999999999935E-3</c:v>
                </c:pt>
                <c:pt idx="7" formatCode="0.0%">
                  <c:v>3.8911999999999541E-3</c:v>
                </c:pt>
                <c:pt idx="8" formatCode="0.0%">
                  <c:v>4.8800000000000275E-3</c:v>
                </c:pt>
                <c:pt idx="9" formatCode="0.0%">
                  <c:v>5.8751999999999876E-3</c:v>
                </c:pt>
                <c:pt idx="10" formatCode="0.0%">
                  <c:v>6.876799999999946E-3</c:v>
                </c:pt>
                <c:pt idx="11" formatCode="0.0%">
                  <c:v>7.8848000000000199E-3</c:v>
                </c:pt>
                <c:pt idx="12" formatCode="0.0%">
                  <c:v>8.8991999999999804E-3</c:v>
                </c:pt>
                <c:pt idx="13" formatCode="0.0%">
                  <c:v>9.9200000000000555E-3</c:v>
                </c:pt>
                <c:pt idx="14" formatCode="0.0%">
                  <c:v>1.0947200000000015E-2</c:v>
                </c:pt>
                <c:pt idx="15" formatCode="0.0%">
                  <c:v>1.1980799999999974E-2</c:v>
                </c:pt>
                <c:pt idx="16" formatCode="0.0%">
                  <c:v>1.3020800000000048E-2</c:v>
                </c:pt>
                <c:pt idx="17" formatCode="0.0%">
                  <c:v>1.4067200000000007E-2</c:v>
                </c:pt>
                <c:pt idx="18" formatCode="0.0%">
                  <c:v>1.5119999999999967E-2</c:v>
                </c:pt>
                <c:pt idx="19" formatCode="0.0%">
                  <c:v>1.6179200000000036E-2</c:v>
                </c:pt>
                <c:pt idx="20" formatCode="0.0%">
                  <c:v>1.7244800000000005E-2</c:v>
                </c:pt>
                <c:pt idx="21" formatCode="0.0%">
                  <c:v>1.8316799999999956E-2</c:v>
                </c:pt>
                <c:pt idx="22" formatCode="0.0%">
                  <c:v>1.9395200000000036E-2</c:v>
                </c:pt>
                <c:pt idx="23" formatCode="0.0%">
                  <c:v>2.0479999999999995E-2</c:v>
                </c:pt>
                <c:pt idx="24" formatCode="0.0%">
                  <c:v>2.1571199999999954E-2</c:v>
                </c:pt>
                <c:pt idx="25" formatCode="0.0%">
                  <c:v>2.2668800000000034E-2</c:v>
                </c:pt>
                <c:pt idx="26" formatCode="0.0%">
                  <c:v>2.3772799999999983E-2</c:v>
                </c:pt>
                <c:pt idx="27" formatCode="0.0%">
                  <c:v>2.4883199999999953E-2</c:v>
                </c:pt>
                <c:pt idx="28" formatCode="0.0%">
                  <c:v>2.600000000000002E-2</c:v>
                </c:pt>
                <c:pt idx="29" formatCode="0.0%">
                  <c:v>2.7123199999999979E-2</c:v>
                </c:pt>
                <c:pt idx="30" formatCode="0.0%">
                  <c:v>2.8252799999999939E-2</c:v>
                </c:pt>
                <c:pt idx="31" formatCode="0.0%">
                  <c:v>2.938880000000001E-2</c:v>
                </c:pt>
                <c:pt idx="32" formatCode="0.0%">
                  <c:v>3.0531199999999981E-2</c:v>
                </c:pt>
                <c:pt idx="33" formatCode="0.0%">
                  <c:v>3.1679999999999923E-2</c:v>
                </c:pt>
              </c:numCache>
            </c:numRef>
          </c:val>
          <c:extLst>
            <c:ext xmlns:c16="http://schemas.microsoft.com/office/drawing/2014/chart" uri="{C3380CC4-5D6E-409C-BE32-E72D297353CC}">
              <c16:uniqueId val="{0000000F-9867-4B0F-81AC-43CCB6477483}"/>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9867-4B0F-81AC-43CCB6477483}"/>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9867-4B0F-81AC-43CCB6477483}"/>
              </c:ext>
            </c:extLst>
          </c:dPt>
          <c:dLbls>
            <c:dLbl>
              <c:idx val="3"/>
              <c:layout>
                <c:manualLayout>
                  <c:x val="-4.3207957428504265E-2"/>
                  <c:y val="0.31040735222083488"/>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1048422523695384"/>
                      <c:h val="2.9978359468899769E-2"/>
                    </c:manualLayout>
                  </c15:layout>
                </c:ext>
                <c:ext xmlns:c16="http://schemas.microsoft.com/office/drawing/2014/chart" uri="{C3380CC4-5D6E-409C-BE32-E72D297353CC}">
                  <c16:uniqueId val="{00000011-9867-4B0F-81AC-43CCB64774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12-9867-4B0F-81AC-43CCB6477483}"/>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3-9867-4B0F-81AC-43CCB6477483}"/>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Evolution of Carbon Reduction up to 2050</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calculations'!$FA$122</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calculations'!$FA$123:$FA$156</c:f>
              <c:numCache>
                <c:formatCode>0.00%</c:formatCode>
                <c:ptCount val="34"/>
                <c:pt idx="0">
                  <c:v>1</c:v>
                </c:pt>
                <c:pt idx="1">
                  <c:v>0.98333333333333328</c:v>
                </c:pt>
                <c:pt idx="2">
                  <c:v>0.96666666666666656</c:v>
                </c:pt>
                <c:pt idx="3">
                  <c:v>0.95</c:v>
                </c:pt>
                <c:pt idx="4">
                  <c:v>0.92126769893611948</c:v>
                </c:pt>
                <c:pt idx="5">
                  <c:v>0.89232233717856968</c:v>
                </c:pt>
                <c:pt idx="6">
                  <c:v>0.85702225139760491</c:v>
                </c:pt>
                <c:pt idx="7">
                  <c:v>0.82089921227439566</c:v>
                </c:pt>
                <c:pt idx="8">
                  <c:v>0.78306779349541678</c:v>
                </c:pt>
                <c:pt idx="9">
                  <c:v>0.74439641490098984</c:v>
                </c:pt>
                <c:pt idx="10">
                  <c:v>0.70487945786989703</c:v>
                </c:pt>
                <c:pt idx="11">
                  <c:v>0.66451130378092094</c:v>
                </c:pt>
                <c:pt idx="12">
                  <c:v>0.62328633401284472</c:v>
                </c:pt>
                <c:pt idx="13">
                  <c:v>0.58119892994444988</c:v>
                </c:pt>
                <c:pt idx="14">
                  <c:v>0.53824347295452046</c:v>
                </c:pt>
                <c:pt idx="15">
                  <c:v>0.49441434442183796</c:v>
                </c:pt>
                <c:pt idx="16">
                  <c:v>0.44970592572518509</c:v>
                </c:pt>
                <c:pt idx="17">
                  <c:v>0.404112598243345</c:v>
                </c:pt>
                <c:pt idx="18">
                  <c:v>0.3576287433551002</c:v>
                </c:pt>
                <c:pt idx="19">
                  <c:v>0.3322111268674568</c:v>
                </c:pt>
                <c:pt idx="20">
                  <c:v>0.30603074816406362</c:v>
                </c:pt>
                <c:pt idx="21">
                  <c:v>0.28437201215311514</c:v>
                </c:pt>
                <c:pt idx="22">
                  <c:v>0.26197254727221742</c:v>
                </c:pt>
                <c:pt idx="23">
                  <c:v>0.2388267349001536</c:v>
                </c:pt>
                <c:pt idx="24">
                  <c:v>0.22551071738236217</c:v>
                </c:pt>
                <c:pt idx="25">
                  <c:v>0.21317742339101553</c:v>
                </c:pt>
                <c:pt idx="26">
                  <c:v>0.20076219410258545</c:v>
                </c:pt>
                <c:pt idx="27">
                  <c:v>0.18826502951707069</c:v>
                </c:pt>
                <c:pt idx="28">
                  <c:v>0.17568592963447205</c:v>
                </c:pt>
                <c:pt idx="29">
                  <c:v>0.16302489445478929</c:v>
                </c:pt>
                <c:pt idx="30">
                  <c:v>0.15028192397802254</c:v>
                </c:pt>
                <c:pt idx="31">
                  <c:v>0.13745701820417189</c:v>
                </c:pt>
                <c:pt idx="32">
                  <c:v>0.12455017713323613</c:v>
                </c:pt>
                <c:pt idx="33">
                  <c:v>0.11156140076521748</c:v>
                </c:pt>
              </c:numCache>
            </c:numRef>
          </c:val>
          <c:extLst>
            <c:ext xmlns:c16="http://schemas.microsoft.com/office/drawing/2014/chart" uri="{C3380CC4-5D6E-409C-BE32-E72D297353CC}">
              <c16:uniqueId val="{00000000-C1F6-4E51-9938-32B07EB8ED3E}"/>
            </c:ext>
          </c:extLst>
        </c:ser>
        <c:ser>
          <c:idx val="11"/>
          <c:order val="1"/>
          <c:tx>
            <c:strRef>
              <c:f>'Timing calculations'!$FC$122</c:f>
              <c:strCache>
                <c:ptCount val="1"/>
                <c:pt idx="0">
                  <c:v>80% BEV</c:v>
                </c:pt>
              </c:strCache>
            </c:strRef>
          </c:tx>
          <c:spPr>
            <a:solidFill>
              <a:schemeClr val="accent4">
                <a:lumMod val="60000"/>
                <a:lumOff val="4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calculations'!$FC$123:$FC$156</c:f>
              <c:numCache>
                <c:formatCode>0.00%</c:formatCode>
                <c:ptCount val="34"/>
                <c:pt idx="0">
                  <c:v>0</c:v>
                </c:pt>
                <c:pt idx="1">
                  <c:v>0</c:v>
                </c:pt>
                <c:pt idx="2">
                  <c:v>0</c:v>
                </c:pt>
                <c:pt idx="3">
                  <c:v>0</c:v>
                </c:pt>
                <c:pt idx="4">
                  <c:v>0</c:v>
                </c:pt>
                <c:pt idx="5">
                  <c:v>0</c:v>
                </c:pt>
                <c:pt idx="6">
                  <c:v>9.7535421532753633E-3</c:v>
                </c:pt>
                <c:pt idx="7">
                  <c:v>2.0140817739439619E-2</c:v>
                </c:pt>
                <c:pt idx="8">
                  <c:v>3.1167445379710151E-2</c:v>
                </c:pt>
                <c:pt idx="9">
                  <c:v>4.2839043695304349E-2</c:v>
                </c:pt>
                <c:pt idx="10">
                  <c:v>5.5161231307439607E-2</c:v>
                </c:pt>
                <c:pt idx="11">
                  <c:v>6.813962683733335E-2</c:v>
                </c:pt>
                <c:pt idx="12">
                  <c:v>8.177984890620292E-2</c:v>
                </c:pt>
                <c:pt idx="13">
                  <c:v>9.6087516135265713E-2</c:v>
                </c:pt>
                <c:pt idx="14">
                  <c:v>0.11106824714573914</c:v>
                </c:pt>
                <c:pt idx="15">
                  <c:v>0.1267276605588406</c:v>
                </c:pt>
                <c:pt idx="16">
                  <c:v>0.14307137499578748</c:v>
                </c:pt>
                <c:pt idx="17">
                  <c:v>0.16010500907779712</c:v>
                </c:pt>
                <c:pt idx="18">
                  <c:v>0.17783418142608698</c:v>
                </c:pt>
                <c:pt idx="19">
                  <c:v>0.19626451066187436</c:v>
                </c:pt>
                <c:pt idx="20">
                  <c:v>0.21540161540637687</c:v>
                </c:pt>
                <c:pt idx="21">
                  <c:v>0.23525111428081161</c:v>
                </c:pt>
                <c:pt idx="22">
                  <c:v>0.25581862590639615</c:v>
                </c:pt>
                <c:pt idx="23">
                  <c:v>0.27710976890434785</c:v>
                </c:pt>
                <c:pt idx="24">
                  <c:v>0.28338646916452181</c:v>
                </c:pt>
                <c:pt idx="25">
                  <c:v>0.2896968811520001</c:v>
                </c:pt>
                <c:pt idx="26">
                  <c:v>0.29604100486678259</c:v>
                </c:pt>
                <c:pt idx="27">
                  <c:v>0.30241884030886967</c:v>
                </c:pt>
                <c:pt idx="28">
                  <c:v>0.30883038747826091</c:v>
                </c:pt>
                <c:pt idx="29">
                  <c:v>0.31527564637495659</c:v>
                </c:pt>
                <c:pt idx="30">
                  <c:v>0.32175461699895658</c:v>
                </c:pt>
                <c:pt idx="31">
                  <c:v>0.32826729935026083</c:v>
                </c:pt>
                <c:pt idx="32">
                  <c:v>0.33481369342886969</c:v>
                </c:pt>
                <c:pt idx="33">
                  <c:v>0.34139379923478264</c:v>
                </c:pt>
              </c:numCache>
            </c:numRef>
          </c:val>
          <c:extLst>
            <c:ext xmlns:c16="http://schemas.microsoft.com/office/drawing/2014/chart" uri="{C3380CC4-5D6E-409C-BE32-E72D297353CC}">
              <c16:uniqueId val="{00000001-C1F6-4E51-9938-32B07EB8ED3E}"/>
            </c:ext>
          </c:extLst>
        </c:ser>
        <c:ser>
          <c:idx val="4"/>
          <c:order val="2"/>
          <c:tx>
            <c:strRef>
              <c:f>'Timing calculations'!$FD$122</c:f>
              <c:strCache>
                <c:ptCount val="1"/>
                <c:pt idx="0">
                  <c:v>ICE fuel efficiency@80%BEV</c:v>
                </c:pt>
              </c:strCache>
            </c:strRef>
          </c:tx>
          <c:spPr>
            <a:solidFill>
              <a:schemeClr val="accent5">
                <a:lumMod val="60000"/>
                <a:lumOff val="40000"/>
              </a:schemeClr>
            </a:solidFill>
            <a:ln w="25400">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02-C1F6-4E51-9938-32B07EB8ED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calculations'!$FD$123:$FD$156</c:f>
              <c:numCache>
                <c:formatCode>0.00%</c:formatCode>
                <c:ptCount val="34"/>
                <c:pt idx="0">
                  <c:v>0</c:v>
                </c:pt>
                <c:pt idx="1">
                  <c:v>0</c:v>
                </c:pt>
                <c:pt idx="2">
                  <c:v>0</c:v>
                </c:pt>
                <c:pt idx="3">
                  <c:v>0</c:v>
                </c:pt>
                <c:pt idx="4">
                  <c:v>5.0072235294117617E-3</c:v>
                </c:pt>
                <c:pt idx="5">
                  <c:v>1.0047717647058819E-2</c:v>
                </c:pt>
                <c:pt idx="6">
                  <c:v>1.1257103529411762E-2</c:v>
                </c:pt>
                <c:pt idx="7">
                  <c:v>1.2474252549019604E-2</c:v>
                </c:pt>
                <c:pt idx="8">
                  <c:v>1.3699164705882349E-2</c:v>
                </c:pt>
                <c:pt idx="9">
                  <c:v>1.4931839999999993E-2</c:v>
                </c:pt>
                <c:pt idx="10">
                  <c:v>1.6172278431372537E-2</c:v>
                </c:pt>
                <c:pt idx="11">
                  <c:v>1.7420479999999992E-2</c:v>
                </c:pt>
                <c:pt idx="12">
                  <c:v>1.8676444705882343E-2</c:v>
                </c:pt>
                <c:pt idx="13">
                  <c:v>1.99401725490196E-2</c:v>
                </c:pt>
                <c:pt idx="14">
                  <c:v>2.1211663529411742E-2</c:v>
                </c:pt>
                <c:pt idx="15">
                  <c:v>2.2490917647058815E-2</c:v>
                </c:pt>
                <c:pt idx="16">
                  <c:v>2.3777934901960767E-2</c:v>
                </c:pt>
                <c:pt idx="17">
                  <c:v>2.5072715294117639E-2</c:v>
                </c:pt>
                <c:pt idx="18">
                  <c:v>2.6375258823529407E-2</c:v>
                </c:pt>
                <c:pt idx="19">
                  <c:v>2.7685565490196067E-2</c:v>
                </c:pt>
                <c:pt idx="20">
                  <c:v>2.9003635294117661E-2</c:v>
                </c:pt>
                <c:pt idx="21">
                  <c:v>2.5039444705882347E-2</c:v>
                </c:pt>
                <c:pt idx="22">
                  <c:v>2.1049746666666667E-2</c:v>
                </c:pt>
                <c:pt idx="23">
                  <c:v>1.7034541176470564E-2</c:v>
                </c:pt>
                <c:pt idx="24">
                  <c:v>1.815576E-2</c:v>
                </c:pt>
                <c:pt idx="25">
                  <c:v>1.8212320000000004E-2</c:v>
                </c:pt>
                <c:pt idx="26">
                  <c:v>1.8268879999999998E-2</c:v>
                </c:pt>
                <c:pt idx="27">
                  <c:v>1.8325440000000005E-2</c:v>
                </c:pt>
                <c:pt idx="28">
                  <c:v>1.8381999999999999E-2</c:v>
                </c:pt>
                <c:pt idx="29">
                  <c:v>1.843856E-2</c:v>
                </c:pt>
                <c:pt idx="30">
                  <c:v>1.849512E-2</c:v>
                </c:pt>
                <c:pt idx="31">
                  <c:v>1.8551679999999994E-2</c:v>
                </c:pt>
                <c:pt idx="32">
                  <c:v>1.8608240000000005E-2</c:v>
                </c:pt>
                <c:pt idx="33">
                  <c:v>1.8664799999999999E-2</c:v>
                </c:pt>
              </c:numCache>
            </c:numRef>
          </c:val>
          <c:extLst>
            <c:ext xmlns:c16="http://schemas.microsoft.com/office/drawing/2014/chart" uri="{C3380CC4-5D6E-409C-BE32-E72D297353CC}">
              <c16:uniqueId val="{00000003-C1F6-4E51-9938-32B07EB8ED3E}"/>
            </c:ext>
          </c:extLst>
        </c:ser>
        <c:ser>
          <c:idx val="0"/>
          <c:order val="3"/>
          <c:tx>
            <c:strRef>
              <c:f>'Timing calculations'!$FE$6</c:f>
              <c:strCache>
                <c:ptCount val="1"/>
                <c:pt idx="0">
                  <c:v>Trips &gt; 8km (car to PT/carpool)</c:v>
                </c:pt>
              </c:strCache>
            </c:strRef>
          </c:tx>
          <c:spPr>
            <a:solidFill>
              <a:schemeClr val="accent6">
                <a:lumMod val="75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calculations'!$FE$123:$FE$156</c:f>
              <c:numCache>
                <c:formatCode>0.00%</c:formatCode>
                <c:ptCount val="34"/>
                <c:pt idx="0">
                  <c:v>0</c:v>
                </c:pt>
                <c:pt idx="1">
                  <c:v>0</c:v>
                </c:pt>
                <c:pt idx="2">
                  <c:v>0</c:v>
                </c:pt>
                <c:pt idx="3">
                  <c:v>0</c:v>
                </c:pt>
                <c:pt idx="4">
                  <c:v>1.6404866180048626E-2</c:v>
                </c:pt>
                <c:pt idx="5">
                  <c:v>3.2918734793187389E-2</c:v>
                </c:pt>
                <c:pt idx="6">
                  <c:v>4.9541605839416067E-2</c:v>
                </c:pt>
                <c:pt idx="7">
                  <c:v>6.6273479318734771E-2</c:v>
                </c:pt>
                <c:pt idx="8">
                  <c:v>8.3114355231143619E-2</c:v>
                </c:pt>
                <c:pt idx="9">
                  <c:v>0.10006423357664236</c:v>
                </c:pt>
                <c:pt idx="10">
                  <c:v>0.11712311435523112</c:v>
                </c:pt>
                <c:pt idx="11">
                  <c:v>0.13429099756690993</c:v>
                </c:pt>
                <c:pt idx="12">
                  <c:v>0.15156788321167874</c:v>
                </c:pt>
                <c:pt idx="13">
                  <c:v>0.16895377128953773</c:v>
                </c:pt>
                <c:pt idx="14">
                  <c:v>0.18644866180048658</c:v>
                </c:pt>
                <c:pt idx="15">
                  <c:v>0.20405255474452549</c:v>
                </c:pt>
                <c:pt idx="16">
                  <c:v>0.22176545012165449</c:v>
                </c:pt>
                <c:pt idx="17">
                  <c:v>0.23958734793187345</c:v>
                </c:pt>
                <c:pt idx="18">
                  <c:v>0.25751824817518243</c:v>
                </c:pt>
                <c:pt idx="19">
                  <c:v>0.25833576642335754</c:v>
                </c:pt>
                <c:pt idx="20">
                  <c:v>0.25915328467153281</c:v>
                </c:pt>
                <c:pt idx="21">
                  <c:v>0.25997080291970803</c:v>
                </c:pt>
                <c:pt idx="22">
                  <c:v>0.26078832116788325</c:v>
                </c:pt>
                <c:pt idx="23">
                  <c:v>0.26160583941605842</c:v>
                </c:pt>
                <c:pt idx="24">
                  <c:v>0.26242335766423358</c:v>
                </c:pt>
                <c:pt idx="25">
                  <c:v>0.2632408759124088</c:v>
                </c:pt>
                <c:pt idx="26">
                  <c:v>0.26405839416058391</c:v>
                </c:pt>
                <c:pt idx="27">
                  <c:v>0.26487591240875918</c:v>
                </c:pt>
                <c:pt idx="28">
                  <c:v>0.26569343065693429</c:v>
                </c:pt>
                <c:pt idx="29">
                  <c:v>0.26651094890510951</c:v>
                </c:pt>
                <c:pt idx="30">
                  <c:v>0.26732846715328468</c:v>
                </c:pt>
                <c:pt idx="31">
                  <c:v>0.26814598540145979</c:v>
                </c:pt>
                <c:pt idx="32">
                  <c:v>0.26896350364963512</c:v>
                </c:pt>
                <c:pt idx="33">
                  <c:v>0.26978102189781017</c:v>
                </c:pt>
              </c:numCache>
            </c:numRef>
          </c:val>
          <c:extLst>
            <c:ext xmlns:c16="http://schemas.microsoft.com/office/drawing/2014/chart" uri="{C3380CC4-5D6E-409C-BE32-E72D297353CC}">
              <c16:uniqueId val="{00000004-C1F6-4E51-9938-32B07EB8ED3E}"/>
            </c:ext>
          </c:extLst>
        </c:ser>
        <c:ser>
          <c:idx val="12"/>
          <c:order val="4"/>
          <c:tx>
            <c:strRef>
              <c:f>'Timing calculations'!$FF$6</c:f>
              <c:strCache>
                <c:ptCount val="1"/>
                <c:pt idx="0">
                  <c:v>Trips 3-8km (car to cycle/PT)</c:v>
                </c:pt>
              </c:strCache>
            </c:strRef>
          </c:tx>
          <c:spPr>
            <a:solidFill>
              <a:schemeClr val="accent6"/>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calculations'!$FF$123:$FF$156</c:f>
              <c:numCache>
                <c:formatCode>0.00%</c:formatCode>
                <c:ptCount val="34"/>
                <c:pt idx="0">
                  <c:v>0</c:v>
                </c:pt>
                <c:pt idx="1">
                  <c:v>0</c:v>
                </c:pt>
                <c:pt idx="2">
                  <c:v>0</c:v>
                </c:pt>
                <c:pt idx="3">
                  <c:v>0</c:v>
                </c:pt>
                <c:pt idx="4">
                  <c:v>3.4909164639092124E-3</c:v>
                </c:pt>
                <c:pt idx="5">
                  <c:v>7.0050283860502681E-3</c:v>
                </c:pt>
                <c:pt idx="6">
                  <c:v>1.0542335766423392E-2</c:v>
                </c:pt>
                <c:pt idx="7">
                  <c:v>1.4102838605028357E-2</c:v>
                </c:pt>
                <c:pt idx="8">
                  <c:v>1.7686536901865391E-2</c:v>
                </c:pt>
                <c:pt idx="9">
                  <c:v>2.1293430656934259E-2</c:v>
                </c:pt>
                <c:pt idx="10">
                  <c:v>2.4923519870235198E-2</c:v>
                </c:pt>
                <c:pt idx="11">
                  <c:v>2.8576804541768096E-2</c:v>
                </c:pt>
                <c:pt idx="12">
                  <c:v>3.2253284671532836E-2</c:v>
                </c:pt>
                <c:pt idx="13">
                  <c:v>3.595296025952964E-2</c:v>
                </c:pt>
                <c:pt idx="14">
                  <c:v>3.9675831305758281E-2</c:v>
                </c:pt>
                <c:pt idx="15">
                  <c:v>4.3421897810218997E-2</c:v>
                </c:pt>
                <c:pt idx="16">
                  <c:v>4.7191159772911551E-2</c:v>
                </c:pt>
                <c:pt idx="17">
                  <c:v>5.0983617193836178E-2</c:v>
                </c:pt>
                <c:pt idx="18">
                  <c:v>5.4799270072992644E-2</c:v>
                </c:pt>
                <c:pt idx="19">
                  <c:v>5.8638118410381156E-2</c:v>
                </c:pt>
                <c:pt idx="20">
                  <c:v>6.2500162206001672E-2</c:v>
                </c:pt>
                <c:pt idx="21">
                  <c:v>6.6385401459853971E-2</c:v>
                </c:pt>
                <c:pt idx="22">
                  <c:v>7.0293836171938379E-2</c:v>
                </c:pt>
                <c:pt idx="23">
                  <c:v>7.4225466342254742E-2</c:v>
                </c:pt>
                <c:pt idx="24">
                  <c:v>7.8180291970802937E-2</c:v>
                </c:pt>
                <c:pt idx="25">
                  <c:v>8.2158313057583199E-2</c:v>
                </c:pt>
                <c:pt idx="26">
                  <c:v>8.6159529602595264E-2</c:v>
                </c:pt>
                <c:pt idx="27">
                  <c:v>9.0183941605839479E-2</c:v>
                </c:pt>
                <c:pt idx="28">
                  <c:v>9.4231549067315581E-2</c:v>
                </c:pt>
                <c:pt idx="29">
                  <c:v>9.8302351987023542E-2</c:v>
                </c:pt>
                <c:pt idx="30">
                  <c:v>0.10239635036496358</c:v>
                </c:pt>
                <c:pt idx="31">
                  <c:v>0.10651354420113543</c:v>
                </c:pt>
                <c:pt idx="32">
                  <c:v>0.11065393349553942</c:v>
                </c:pt>
                <c:pt idx="33">
                  <c:v>0.11481751824817528</c:v>
                </c:pt>
              </c:numCache>
            </c:numRef>
          </c:val>
          <c:extLst>
            <c:ext xmlns:c16="http://schemas.microsoft.com/office/drawing/2014/chart" uri="{C3380CC4-5D6E-409C-BE32-E72D297353CC}">
              <c16:uniqueId val="{00000005-C1F6-4E51-9938-32B07EB8ED3E}"/>
            </c:ext>
          </c:extLst>
        </c:ser>
        <c:ser>
          <c:idx val="7"/>
          <c:order val="5"/>
          <c:tx>
            <c:strRef>
              <c:f>'Timing calculations'!$FG$6</c:f>
              <c:strCache>
                <c:ptCount val="1"/>
                <c:pt idx="0">
                  <c:v>Trips &lt; 3km (car to walk/cycle)</c:v>
                </c:pt>
              </c:strCache>
            </c:strRef>
          </c:tx>
          <c:spPr>
            <a:solidFill>
              <a:schemeClr val="accent6">
                <a:lumMod val="60000"/>
                <a:lumOff val="4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calculations'!$FG$123:$FG$156</c:f>
              <c:numCache>
                <c:formatCode>0.00%</c:formatCode>
                <c:ptCount val="34"/>
                <c:pt idx="0">
                  <c:v>0</c:v>
                </c:pt>
                <c:pt idx="1">
                  <c:v>0</c:v>
                </c:pt>
                <c:pt idx="2">
                  <c:v>0</c:v>
                </c:pt>
                <c:pt idx="3">
                  <c:v>0</c:v>
                </c:pt>
                <c:pt idx="4">
                  <c:v>1.684428223844281E-3</c:v>
                </c:pt>
                <c:pt idx="5">
                  <c:v>3.3800486618004843E-3</c:v>
                </c:pt>
                <c:pt idx="6">
                  <c:v>5.0868613138686106E-3</c:v>
                </c:pt>
                <c:pt idx="7">
                  <c:v>6.8048661800486588E-3</c:v>
                </c:pt>
                <c:pt idx="8">
                  <c:v>8.534063260340629E-3</c:v>
                </c:pt>
                <c:pt idx="9">
                  <c:v>1.0274452554744519E-2</c:v>
                </c:pt>
                <c:pt idx="10">
                  <c:v>1.2026034063260332E-2</c:v>
                </c:pt>
                <c:pt idx="11">
                  <c:v>1.378880778588807E-2</c:v>
                </c:pt>
                <c:pt idx="12">
                  <c:v>1.5562773722627729E-2</c:v>
                </c:pt>
                <c:pt idx="13">
                  <c:v>1.734793187347931E-2</c:v>
                </c:pt>
                <c:pt idx="14">
                  <c:v>1.9144282238442809E-2</c:v>
                </c:pt>
                <c:pt idx="15">
                  <c:v>2.0951824817518238E-2</c:v>
                </c:pt>
                <c:pt idx="16">
                  <c:v>2.2770559610705583E-2</c:v>
                </c:pt>
                <c:pt idx="17">
                  <c:v>2.460048661800485E-2</c:v>
                </c:pt>
                <c:pt idx="18">
                  <c:v>2.6441605839416044E-2</c:v>
                </c:pt>
                <c:pt idx="19">
                  <c:v>2.829391727493915E-2</c:v>
                </c:pt>
                <c:pt idx="20">
                  <c:v>3.0157420924574199E-2</c:v>
                </c:pt>
                <c:pt idx="21">
                  <c:v>3.2032116788321144E-2</c:v>
                </c:pt>
                <c:pt idx="22">
                  <c:v>3.3918004866180025E-2</c:v>
                </c:pt>
                <c:pt idx="23">
                  <c:v>3.5815085158150829E-2</c:v>
                </c:pt>
                <c:pt idx="24">
                  <c:v>3.7723357664233556E-2</c:v>
                </c:pt>
                <c:pt idx="25">
                  <c:v>3.9642822384428206E-2</c:v>
                </c:pt>
                <c:pt idx="26">
                  <c:v>4.1573479318734764E-2</c:v>
                </c:pt>
                <c:pt idx="27">
                  <c:v>4.3515328467153273E-2</c:v>
                </c:pt>
                <c:pt idx="28">
                  <c:v>4.5468369829683671E-2</c:v>
                </c:pt>
                <c:pt idx="29">
                  <c:v>4.7432603406326004E-2</c:v>
                </c:pt>
                <c:pt idx="30">
                  <c:v>4.9408029197080268E-2</c:v>
                </c:pt>
                <c:pt idx="31">
                  <c:v>5.1394647201946426E-2</c:v>
                </c:pt>
                <c:pt idx="32">
                  <c:v>5.3392457420924556E-2</c:v>
                </c:pt>
                <c:pt idx="33">
                  <c:v>5.5401459854014561E-2</c:v>
                </c:pt>
              </c:numCache>
            </c:numRef>
          </c:val>
          <c:extLst>
            <c:ext xmlns:c16="http://schemas.microsoft.com/office/drawing/2014/chart" uri="{C3380CC4-5D6E-409C-BE32-E72D297353CC}">
              <c16:uniqueId val="{00000006-C1F6-4E51-9938-32B07EB8ED3E}"/>
            </c:ext>
          </c:extLst>
        </c:ser>
        <c:ser>
          <c:idx val="5"/>
          <c:order val="6"/>
          <c:tx>
            <c:strRef>
              <c:f>'Timing calculations'!$FH$6</c:f>
              <c:strCache>
                <c:ptCount val="1"/>
                <c:pt idx="0">
                  <c:v>Localisation</c:v>
                </c:pt>
              </c:strCache>
            </c:strRef>
          </c:tx>
          <c:spPr>
            <a:solidFill>
              <a:schemeClr val="accent2">
                <a:lumMod val="75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calculations'!$FH$123:$FH$156</c:f>
              <c:numCache>
                <c:formatCode>0.00%</c:formatCode>
                <c:ptCount val="34"/>
                <c:pt idx="0">
                  <c:v>0</c:v>
                </c:pt>
                <c:pt idx="1">
                  <c:v>0</c:v>
                </c:pt>
                <c:pt idx="2">
                  <c:v>0</c:v>
                </c:pt>
                <c:pt idx="3">
                  <c:v>0</c:v>
                </c:pt>
                <c:pt idx="4">
                  <c:v>4.5149999999999479E-3</c:v>
                </c:pt>
                <c:pt idx="5">
                  <c:v>9.0600000000000073E-3</c:v>
                </c:pt>
                <c:pt idx="6">
                  <c:v>1.3634999999999956E-2</c:v>
                </c:pt>
                <c:pt idx="7">
                  <c:v>1.8240000000000017E-2</c:v>
                </c:pt>
                <c:pt idx="8">
                  <c:v>2.2874999999999968E-2</c:v>
                </c:pt>
                <c:pt idx="9">
                  <c:v>2.7540000000000026E-2</c:v>
                </c:pt>
                <c:pt idx="10">
                  <c:v>3.2234999999999965E-2</c:v>
                </c:pt>
                <c:pt idx="11">
                  <c:v>3.6960000000000028E-2</c:v>
                </c:pt>
                <c:pt idx="12">
                  <c:v>4.1714999999999981E-2</c:v>
                </c:pt>
                <c:pt idx="13">
                  <c:v>4.6500000000000048E-2</c:v>
                </c:pt>
                <c:pt idx="14">
                  <c:v>5.1314999999999986E-2</c:v>
                </c:pt>
                <c:pt idx="15">
                  <c:v>5.616000000000005E-2</c:v>
                </c:pt>
                <c:pt idx="16">
                  <c:v>6.1034999999999992E-2</c:v>
                </c:pt>
                <c:pt idx="17">
                  <c:v>6.5940000000000054E-2</c:v>
                </c:pt>
                <c:pt idx="18">
                  <c:v>7.0875000000000007E-2</c:v>
                </c:pt>
                <c:pt idx="19">
                  <c:v>7.1099999999999983E-2</c:v>
                </c:pt>
                <c:pt idx="20">
                  <c:v>7.1325000000000013E-2</c:v>
                </c:pt>
                <c:pt idx="21">
                  <c:v>7.1549999999999989E-2</c:v>
                </c:pt>
                <c:pt idx="22">
                  <c:v>7.1775000000000005E-2</c:v>
                </c:pt>
                <c:pt idx="23">
                  <c:v>7.2000000000000008E-2</c:v>
                </c:pt>
                <c:pt idx="24">
                  <c:v>7.2225000000000011E-2</c:v>
                </c:pt>
                <c:pt idx="25">
                  <c:v>7.2450000000000014E-2</c:v>
                </c:pt>
                <c:pt idx="26">
                  <c:v>7.267499999999999E-2</c:v>
                </c:pt>
                <c:pt idx="27">
                  <c:v>7.290000000000002E-2</c:v>
                </c:pt>
                <c:pt idx="28">
                  <c:v>7.3124999999999996E-2</c:v>
                </c:pt>
                <c:pt idx="29">
                  <c:v>7.3349999999999999E-2</c:v>
                </c:pt>
                <c:pt idx="30">
                  <c:v>7.3575000000000015E-2</c:v>
                </c:pt>
                <c:pt idx="31">
                  <c:v>7.3799999999999991E-2</c:v>
                </c:pt>
                <c:pt idx="32">
                  <c:v>7.4025000000000021E-2</c:v>
                </c:pt>
                <c:pt idx="33">
                  <c:v>7.4249999999999997E-2</c:v>
                </c:pt>
              </c:numCache>
            </c:numRef>
          </c:val>
          <c:extLst>
            <c:ext xmlns:c16="http://schemas.microsoft.com/office/drawing/2014/chart" uri="{C3380CC4-5D6E-409C-BE32-E72D297353CC}">
              <c16:uniqueId val="{00000007-C1F6-4E51-9938-32B07EB8ED3E}"/>
            </c:ext>
          </c:extLst>
        </c:ser>
        <c:ser>
          <c:idx val="9"/>
          <c:order val="7"/>
          <c:tx>
            <c:strRef>
              <c:f>'Timing calculations'!$FI$6</c:f>
              <c:strCache>
                <c:ptCount val="1"/>
                <c:pt idx="0">
                  <c:v>Home delivery</c:v>
                </c:pt>
              </c:strCache>
            </c:strRef>
          </c:tx>
          <c:spPr>
            <a:solidFill>
              <a:schemeClr val="accent2"/>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calculations'!$FI$123:$FI$156</c:f>
              <c:numCache>
                <c:formatCode>0.00%</c:formatCode>
                <c:ptCount val="34"/>
                <c:pt idx="0">
                  <c:v>0</c:v>
                </c:pt>
                <c:pt idx="1">
                  <c:v>0</c:v>
                </c:pt>
                <c:pt idx="2">
                  <c:v>0</c:v>
                </c:pt>
                <c:pt idx="3">
                  <c:v>0</c:v>
                </c:pt>
                <c:pt idx="4">
                  <c:v>0</c:v>
                </c:pt>
                <c:pt idx="5">
                  <c:v>0</c:v>
                </c:pt>
                <c:pt idx="6">
                  <c:v>0</c:v>
                </c:pt>
                <c:pt idx="7">
                  <c:v>0</c:v>
                </c:pt>
                <c:pt idx="8">
                  <c:v>8.798076923077345E-4</c:v>
                </c:pt>
                <c:pt idx="9">
                  <c:v>1.7653846153845864E-3</c:v>
                </c:pt>
                <c:pt idx="10">
                  <c:v>2.6567307692307823E-3</c:v>
                </c:pt>
                <c:pt idx="11">
                  <c:v>3.5538461538462095E-3</c:v>
                </c:pt>
                <c:pt idx="12">
                  <c:v>4.4567307692307536E-3</c:v>
                </c:pt>
                <c:pt idx="13">
                  <c:v>5.3653846153846425E-3</c:v>
                </c:pt>
                <c:pt idx="14">
                  <c:v>6.2798076923076471E-3</c:v>
                </c:pt>
                <c:pt idx="15">
                  <c:v>7.1999999999999981E-3</c:v>
                </c:pt>
                <c:pt idx="16">
                  <c:v>8.1259615384615784E-3</c:v>
                </c:pt>
                <c:pt idx="17">
                  <c:v>9.0576923076922753E-3</c:v>
                </c:pt>
                <c:pt idx="18">
                  <c:v>9.9951923076923195E-3</c:v>
                </c:pt>
                <c:pt idx="19">
                  <c:v>1.093846153846159E-2</c:v>
                </c:pt>
                <c:pt idx="20">
                  <c:v>1.1887499999999983E-2</c:v>
                </c:pt>
                <c:pt idx="21">
                  <c:v>1.2842307692307715E-2</c:v>
                </c:pt>
                <c:pt idx="22">
                  <c:v>1.3802884615384566E-2</c:v>
                </c:pt>
                <c:pt idx="23">
                  <c:v>1.4769230769230764E-2</c:v>
                </c:pt>
                <c:pt idx="24">
                  <c:v>1.5741346153846193E-2</c:v>
                </c:pt>
                <c:pt idx="25">
                  <c:v>1.6719230769230736E-2</c:v>
                </c:pt>
                <c:pt idx="26">
                  <c:v>1.770288461538462E-2</c:v>
                </c:pt>
                <c:pt idx="27">
                  <c:v>1.8692307692307751E-2</c:v>
                </c:pt>
                <c:pt idx="28">
                  <c:v>1.9687499999999976E-2</c:v>
                </c:pt>
                <c:pt idx="29">
                  <c:v>2.0688461538461562E-2</c:v>
                </c:pt>
                <c:pt idx="30">
                  <c:v>2.1695192307692256E-2</c:v>
                </c:pt>
                <c:pt idx="31">
                  <c:v>2.2707692307692293E-2</c:v>
                </c:pt>
                <c:pt idx="32">
                  <c:v>2.3725961538461581E-2</c:v>
                </c:pt>
                <c:pt idx="33">
                  <c:v>2.474999999999996E-2</c:v>
                </c:pt>
              </c:numCache>
            </c:numRef>
          </c:val>
          <c:extLst>
            <c:ext xmlns:c16="http://schemas.microsoft.com/office/drawing/2014/chart" uri="{C3380CC4-5D6E-409C-BE32-E72D297353CC}">
              <c16:uniqueId val="{00000008-C1F6-4E51-9938-32B07EB8ED3E}"/>
            </c:ext>
          </c:extLst>
        </c:ser>
        <c:ser>
          <c:idx val="6"/>
          <c:order val="8"/>
          <c:tx>
            <c:strRef>
              <c:f>'Timing calculations'!$FJ$6</c:f>
              <c:strCache>
                <c:ptCount val="1"/>
                <c:pt idx="0">
                  <c:v>Online / Teleservices</c:v>
                </c:pt>
              </c:strCache>
            </c:strRef>
          </c:tx>
          <c:spPr>
            <a:solidFill>
              <a:schemeClr val="accent2">
                <a:lumMod val="60000"/>
                <a:lumOff val="4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calculations'!$FJ$123:$FJ$156</c:f>
              <c:numCache>
                <c:formatCode>0.00%</c:formatCode>
                <c:ptCount val="34"/>
                <c:pt idx="0">
                  <c:v>0</c:v>
                </c:pt>
                <c:pt idx="1">
                  <c:v>0</c:v>
                </c:pt>
                <c:pt idx="2">
                  <c:v>0</c:v>
                </c:pt>
                <c:pt idx="3">
                  <c:v>0</c:v>
                </c:pt>
                <c:pt idx="4">
                  <c:v>0</c:v>
                </c:pt>
                <c:pt idx="5">
                  <c:v>0</c:v>
                </c:pt>
                <c:pt idx="6">
                  <c:v>2.524999999999722E-4</c:v>
                </c:pt>
                <c:pt idx="7">
                  <c:v>5.0666666666661093E-4</c:v>
                </c:pt>
                <c:pt idx="8">
                  <c:v>7.62500000000029E-4</c:v>
                </c:pt>
                <c:pt idx="9">
                  <c:v>1.0200000000000009E-3</c:v>
                </c:pt>
                <c:pt idx="10">
                  <c:v>1.2791666666666392E-3</c:v>
                </c:pt>
                <c:pt idx="11">
                  <c:v>1.5399999999999444E-3</c:v>
                </c:pt>
                <c:pt idx="12">
                  <c:v>1.8025000000000302E-3</c:v>
                </c:pt>
                <c:pt idx="13">
                  <c:v>2.0666666666666689E-3</c:v>
                </c:pt>
                <c:pt idx="14">
                  <c:v>2.332499999999973E-3</c:v>
                </c:pt>
                <c:pt idx="15">
                  <c:v>2.5999999999999448E-3</c:v>
                </c:pt>
                <c:pt idx="16">
                  <c:v>2.8691666666666978E-3</c:v>
                </c:pt>
                <c:pt idx="17">
                  <c:v>3.1400000000000026E-3</c:v>
                </c:pt>
                <c:pt idx="18">
                  <c:v>3.4124999999999741E-3</c:v>
                </c:pt>
                <c:pt idx="19">
                  <c:v>3.6866666666666103E-3</c:v>
                </c:pt>
                <c:pt idx="20">
                  <c:v>3.9625000000000337E-3</c:v>
                </c:pt>
                <c:pt idx="21">
                  <c:v>4.2400000000000033E-3</c:v>
                </c:pt>
                <c:pt idx="22">
                  <c:v>4.519166666666641E-3</c:v>
                </c:pt>
                <c:pt idx="23">
                  <c:v>4.7999999999999449E-3</c:v>
                </c:pt>
                <c:pt idx="24">
                  <c:v>5.0825000000000349E-3</c:v>
                </c:pt>
                <c:pt idx="25">
                  <c:v>5.3666666666666724E-3</c:v>
                </c:pt>
                <c:pt idx="26">
                  <c:v>5.6524999999999735E-3</c:v>
                </c:pt>
                <c:pt idx="27">
                  <c:v>5.9399999999999471E-3</c:v>
                </c:pt>
                <c:pt idx="28">
                  <c:v>6.2291666666667023E-3</c:v>
                </c:pt>
                <c:pt idx="29">
                  <c:v>6.5200000000000058E-3</c:v>
                </c:pt>
                <c:pt idx="30">
                  <c:v>6.8124999999999766E-3</c:v>
                </c:pt>
                <c:pt idx="31">
                  <c:v>7.1066666666666101E-3</c:v>
                </c:pt>
                <c:pt idx="32">
                  <c:v>7.4025000000000384E-3</c:v>
                </c:pt>
                <c:pt idx="33">
                  <c:v>7.7000000000000063E-3</c:v>
                </c:pt>
              </c:numCache>
            </c:numRef>
          </c:val>
          <c:extLst>
            <c:ext xmlns:c16="http://schemas.microsoft.com/office/drawing/2014/chart" uri="{C3380CC4-5D6E-409C-BE32-E72D297353CC}">
              <c16:uniqueId val="{00000009-C1F6-4E51-9938-32B07EB8ED3E}"/>
            </c:ext>
          </c:extLst>
        </c:ser>
        <c:ser>
          <c:idx val="3"/>
          <c:order val="9"/>
          <c:tx>
            <c:strRef>
              <c:f>'Timing calculations'!$FK$6</c:f>
              <c:strCache>
                <c:ptCount val="1"/>
                <c:pt idx="0">
                  <c:v>Work from Home</c:v>
                </c:pt>
              </c:strCache>
            </c:strRef>
          </c:tx>
          <c:spPr>
            <a:solidFill>
              <a:schemeClr val="accent2">
                <a:lumMod val="20000"/>
                <a:lumOff val="8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calculations'!$FK$123:$FK$156</c:f>
              <c:numCache>
                <c:formatCode>0.00%</c:formatCode>
                <c:ptCount val="34"/>
                <c:pt idx="0">
                  <c:v>0</c:v>
                </c:pt>
                <c:pt idx="1">
                  <c:v>0</c:v>
                </c:pt>
                <c:pt idx="2">
                  <c:v>0</c:v>
                </c:pt>
                <c:pt idx="3">
                  <c:v>0</c:v>
                </c:pt>
                <c:pt idx="4">
                  <c:v>9.6319999999996064E-4</c:v>
                </c:pt>
                <c:pt idx="5">
                  <c:v>1.9328000000000329E-3</c:v>
                </c:pt>
                <c:pt idx="6">
                  <c:v>2.9087999999999935E-3</c:v>
                </c:pt>
                <c:pt idx="7">
                  <c:v>3.8911999999999541E-3</c:v>
                </c:pt>
                <c:pt idx="8">
                  <c:v>4.8800000000000275E-3</c:v>
                </c:pt>
                <c:pt idx="9">
                  <c:v>5.8751999999999876E-3</c:v>
                </c:pt>
                <c:pt idx="10">
                  <c:v>6.876799999999946E-3</c:v>
                </c:pt>
                <c:pt idx="11">
                  <c:v>7.8848000000000199E-3</c:v>
                </c:pt>
                <c:pt idx="12">
                  <c:v>8.8991999999999804E-3</c:v>
                </c:pt>
                <c:pt idx="13">
                  <c:v>9.9200000000000555E-3</c:v>
                </c:pt>
                <c:pt idx="14">
                  <c:v>1.0947200000000015E-2</c:v>
                </c:pt>
                <c:pt idx="15">
                  <c:v>1.1980799999999974E-2</c:v>
                </c:pt>
                <c:pt idx="16">
                  <c:v>1.3020800000000048E-2</c:v>
                </c:pt>
                <c:pt idx="17">
                  <c:v>1.4067200000000007E-2</c:v>
                </c:pt>
                <c:pt idx="18">
                  <c:v>1.5119999999999967E-2</c:v>
                </c:pt>
                <c:pt idx="19">
                  <c:v>1.6179200000000036E-2</c:v>
                </c:pt>
                <c:pt idx="20">
                  <c:v>1.7244800000000005E-2</c:v>
                </c:pt>
                <c:pt idx="21">
                  <c:v>1.8316799999999956E-2</c:v>
                </c:pt>
                <c:pt idx="22">
                  <c:v>1.9395200000000036E-2</c:v>
                </c:pt>
                <c:pt idx="23">
                  <c:v>2.0479999999999995E-2</c:v>
                </c:pt>
                <c:pt idx="24">
                  <c:v>2.1571199999999954E-2</c:v>
                </c:pt>
                <c:pt idx="25">
                  <c:v>2.2668800000000034E-2</c:v>
                </c:pt>
                <c:pt idx="26">
                  <c:v>2.3772799999999983E-2</c:v>
                </c:pt>
                <c:pt idx="27">
                  <c:v>2.4883199999999953E-2</c:v>
                </c:pt>
                <c:pt idx="28">
                  <c:v>2.600000000000002E-2</c:v>
                </c:pt>
                <c:pt idx="29">
                  <c:v>2.7123199999999979E-2</c:v>
                </c:pt>
                <c:pt idx="30">
                  <c:v>2.8252799999999939E-2</c:v>
                </c:pt>
                <c:pt idx="31">
                  <c:v>2.938880000000001E-2</c:v>
                </c:pt>
                <c:pt idx="32">
                  <c:v>3.0531199999999981E-2</c:v>
                </c:pt>
                <c:pt idx="33">
                  <c:v>3.1679999999999923E-2</c:v>
                </c:pt>
              </c:numCache>
            </c:numRef>
          </c:val>
          <c:extLst>
            <c:ext xmlns:c16="http://schemas.microsoft.com/office/drawing/2014/chart" uri="{C3380CC4-5D6E-409C-BE32-E72D297353CC}">
              <c16:uniqueId val="{0000000A-C1F6-4E51-9938-32B07EB8ED3E}"/>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0-C1F6-4E51-9938-32B07EB8ED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1-C1F6-4E51-9938-32B07EB8ED3E}"/>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0C-C1F6-4E51-9938-32B07EB8ED3E}"/>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0C-C1F6-4E51-9938-32B07EB8ED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0D-C1F6-4E51-9938-32B07EB8ED3E}"/>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E-C1F6-4E51-9938-32B07EB8ED3E}"/>
            </c:ext>
          </c:extLst>
        </c:ser>
        <c:ser>
          <c:idx val="13"/>
          <c:order val="13"/>
          <c:tx>
            <c:strRef>
              <c:f>'Timing calculations'!$FM$122</c:f>
              <c:strCache>
                <c:ptCount val="1"/>
                <c:pt idx="0">
                  <c:v>Fit for 55' and Green Deal target </c:v>
                </c:pt>
              </c:strCache>
            </c:strRef>
          </c:tx>
          <c:spPr>
            <a:ln w="28575" cap="rnd">
              <a:solidFill>
                <a:schemeClr val="bg2">
                  <a:lumMod val="50000"/>
                </a:schemeClr>
              </a:solidFill>
              <a:prstDash val="dash"/>
              <a:round/>
            </a:ln>
            <a:effectLst/>
          </c:spPr>
          <c:marker>
            <c:symbol val="none"/>
          </c:marker>
          <c:val>
            <c:numRef>
              <c:f>'Timing calculations'!$FM$123:$FM$156</c:f>
              <c:numCache>
                <c:formatCode>0.00%</c:formatCode>
                <c:ptCount val="34"/>
                <c:pt idx="0">
                  <c:v>1</c:v>
                </c:pt>
                <c:pt idx="1">
                  <c:v>0.98333333333333328</c:v>
                </c:pt>
                <c:pt idx="2">
                  <c:v>0.96666666666666656</c:v>
                </c:pt>
                <c:pt idx="3">
                  <c:v>0.95</c:v>
                </c:pt>
                <c:pt idx="4" formatCode="0.0%">
                  <c:v>0.89999999999999991</c:v>
                </c:pt>
                <c:pt idx="5" formatCode="0.0%">
                  <c:v>0.84999999999999987</c:v>
                </c:pt>
                <c:pt idx="6" formatCode="0.0%">
                  <c:v>0.79999999999999982</c:v>
                </c:pt>
                <c:pt idx="7" formatCode="0.0%">
                  <c:v>0.74999999999999978</c:v>
                </c:pt>
                <c:pt idx="8" formatCode="0.0%">
                  <c:v>0.69999999999999973</c:v>
                </c:pt>
                <c:pt idx="9" formatCode="0.0%">
                  <c:v>0.64999999999999969</c:v>
                </c:pt>
                <c:pt idx="10" formatCode="0.0%">
                  <c:v>0.59999999999999964</c:v>
                </c:pt>
                <c:pt idx="11" formatCode="0.0%">
                  <c:v>0.5499999999999996</c:v>
                </c:pt>
                <c:pt idx="12" formatCode="0.0%">
                  <c:v>0.49999999999999961</c:v>
                </c:pt>
                <c:pt idx="13" formatCode="0.0%">
                  <c:v>0.44999999999999962</c:v>
                </c:pt>
                <c:pt idx="14" formatCode="0.0%">
                  <c:v>0.43249999999999966</c:v>
                </c:pt>
                <c:pt idx="15" formatCode="0.0%">
                  <c:v>0.4149999999999997</c:v>
                </c:pt>
                <c:pt idx="16" formatCode="0.0%">
                  <c:v>0.39749999999999974</c:v>
                </c:pt>
                <c:pt idx="17" formatCode="0.0%">
                  <c:v>0.37999999999999978</c:v>
                </c:pt>
                <c:pt idx="18" formatCode="0.0%">
                  <c:v>0.36249999999999982</c:v>
                </c:pt>
                <c:pt idx="19" formatCode="0.0%">
                  <c:v>0.34499999999999986</c:v>
                </c:pt>
                <c:pt idx="20" formatCode="0.0%">
                  <c:v>0.3274999999999999</c:v>
                </c:pt>
                <c:pt idx="21" formatCode="0.0%">
                  <c:v>0.30999999999999994</c:v>
                </c:pt>
                <c:pt idx="22" formatCode="0.0%">
                  <c:v>0.29249999999999998</c:v>
                </c:pt>
                <c:pt idx="23" formatCode="0.0%">
                  <c:v>0.27500000000000002</c:v>
                </c:pt>
                <c:pt idx="24" formatCode="0.0%">
                  <c:v>0.25750000000000006</c:v>
                </c:pt>
                <c:pt idx="25" formatCode="0.0%">
                  <c:v>0.24000000000000007</c:v>
                </c:pt>
                <c:pt idx="26" formatCode="0.0%">
                  <c:v>0.22250000000000009</c:v>
                </c:pt>
                <c:pt idx="27" formatCode="0.0%">
                  <c:v>0.2050000000000001</c:v>
                </c:pt>
                <c:pt idx="28" formatCode="0.0%">
                  <c:v>0.18750000000000011</c:v>
                </c:pt>
                <c:pt idx="29" formatCode="0.0%">
                  <c:v>0.17000000000000012</c:v>
                </c:pt>
                <c:pt idx="30" formatCode="0.0%">
                  <c:v>0.15250000000000014</c:v>
                </c:pt>
                <c:pt idx="31" formatCode="0.0%">
                  <c:v>0.13500000000000015</c:v>
                </c:pt>
                <c:pt idx="32" formatCode="0.0%">
                  <c:v>0.11750000000000016</c:v>
                </c:pt>
                <c:pt idx="33" formatCode="0.0%">
                  <c:v>0.10000000000000017</c:v>
                </c:pt>
              </c:numCache>
            </c:numRef>
          </c:val>
          <c:smooth val="0"/>
          <c:extLst>
            <c:ext xmlns:c16="http://schemas.microsoft.com/office/drawing/2014/chart" uri="{C3380CC4-5D6E-409C-BE32-E72D297353CC}">
              <c16:uniqueId val="{0000000F-C1F6-4E51-9938-32B07EB8ED3E}"/>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legend>
      <c:legendPos val="b"/>
      <c:legendEntry>
        <c:idx val="10"/>
        <c:delete val="1"/>
      </c:legendEntry>
      <c:legendEntry>
        <c:idx val="11"/>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20%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calculations'!$HI$6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calculations'!$HI$7:$HI$40</c:f>
              <c:numCache>
                <c:formatCode>0%</c:formatCode>
                <c:ptCount val="34"/>
                <c:pt idx="0">
                  <c:v>1</c:v>
                </c:pt>
                <c:pt idx="1">
                  <c:v>0.98333333333333328</c:v>
                </c:pt>
                <c:pt idx="2">
                  <c:v>0.96666666666666656</c:v>
                </c:pt>
                <c:pt idx="3" formatCode="0.00%">
                  <c:v>0.95</c:v>
                </c:pt>
                <c:pt idx="4" formatCode="0.00%">
                  <c:v>0.92126769893611948</c:v>
                </c:pt>
                <c:pt idx="5" formatCode="0.00%">
                  <c:v>0.89232233717856968</c:v>
                </c:pt>
                <c:pt idx="6" formatCode="0.00%">
                  <c:v>0.86148112801256138</c:v>
                </c:pt>
                <c:pt idx="7" formatCode="0.00%">
                  <c:v>0.83027341224564211</c:v>
                </c:pt>
                <c:pt idx="8" formatCode="0.00%">
                  <c:v>0.79781797753019934</c:v>
                </c:pt>
                <c:pt idx="9" formatCode="0.00%">
                  <c:v>0.76498745767246812</c:v>
                </c:pt>
                <c:pt idx="10" formatCode="0.00%">
                  <c:v>0.73178044801714359</c:v>
                </c:pt>
                <c:pt idx="11" formatCode="0.00%">
                  <c:v>0.69819554390892102</c:v>
                </c:pt>
                <c:pt idx="12" formatCode="0.00%">
                  <c:v>0.6642313406924969</c:v>
                </c:pt>
                <c:pt idx="13" formatCode="0.00%">
                  <c:v>0.62988643371256581</c:v>
                </c:pt>
                <c:pt idx="14" formatCode="0.00%">
                  <c:v>0.5951594183138248</c:v>
                </c:pt>
                <c:pt idx="15" formatCode="0.00%">
                  <c:v>0.56004888984096834</c:v>
                </c:pt>
                <c:pt idx="16" formatCode="0.00%">
                  <c:v>0.52455344363869238</c:v>
                </c:pt>
                <c:pt idx="17" formatCode="0.00%">
                  <c:v>0.48867167505169284</c:v>
                </c:pt>
                <c:pt idx="18" formatCode="0.00%">
                  <c:v>0.45240217942466554</c:v>
                </c:pt>
                <c:pt idx="19" formatCode="0.00%">
                  <c:v>0.43770593653052925</c:v>
                </c:pt>
                <c:pt idx="20" formatCode="0.00%">
                  <c:v>0.42275815971884612</c:v>
                </c:pt>
                <c:pt idx="21" formatCode="0.00%">
                  <c:v>0.41284746786372406</c:v>
                </c:pt>
                <c:pt idx="22" formatCode="0.00%">
                  <c:v>0.40271570336868123</c:v>
                </c:pt>
                <c:pt idx="23" formatCode="0.00%">
                  <c:v>0.39236146157841456</c:v>
                </c:pt>
                <c:pt idx="24" formatCode="0.00%">
                  <c:v>0.38358328925575347</c:v>
                </c:pt>
                <c:pt idx="25" formatCode="0.00%">
                  <c:v>0.37581312425501556</c:v>
                </c:pt>
                <c:pt idx="26" formatCode="0.00%">
                  <c:v>0.3679863077526726</c:v>
                </c:pt>
                <c:pt idx="27" formatCode="0.00%">
                  <c:v>0.36010283974872292</c:v>
                </c:pt>
                <c:pt idx="28" formatCode="0.00%">
                  <c:v>0.35216272024316775</c:v>
                </c:pt>
                <c:pt idx="29" formatCode="0.00%">
                  <c:v>0.34416594923600674</c:v>
                </c:pt>
                <c:pt idx="30" formatCode="0.00%">
                  <c:v>0.33611252672724012</c:v>
                </c:pt>
                <c:pt idx="31" formatCode="0.00%">
                  <c:v>0.32800245271686757</c:v>
                </c:pt>
                <c:pt idx="32" formatCode="0.00%">
                  <c:v>0.3198357272048884</c:v>
                </c:pt>
                <c:pt idx="33" formatCode="0.00%">
                  <c:v>0.3116123501913044</c:v>
                </c:pt>
              </c:numCache>
            </c:numRef>
          </c:val>
          <c:extLst>
            <c:ext xmlns:c16="http://schemas.microsoft.com/office/drawing/2014/chart" uri="{C3380CC4-5D6E-409C-BE32-E72D297353CC}">
              <c16:uniqueId val="{00000000-1A1D-4A44-A0AF-0472604DEE94}"/>
            </c:ext>
          </c:extLst>
        </c:ser>
        <c:ser>
          <c:idx val="11"/>
          <c:order val="1"/>
          <c:tx>
            <c:strRef>
              <c:f>'Timing calculations'!$HK$6</c:f>
              <c:strCache>
                <c:ptCount val="1"/>
                <c:pt idx="0">
                  <c:v>20%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calculations'!$HK$7:$HK$40</c:f>
              <c:numCache>
                <c:formatCode>0.00%</c:formatCode>
                <c:ptCount val="34"/>
                <c:pt idx="0">
                  <c:v>0</c:v>
                </c:pt>
                <c:pt idx="1">
                  <c:v>0</c:v>
                </c:pt>
                <c:pt idx="2">
                  <c:v>0</c:v>
                </c:pt>
                <c:pt idx="3">
                  <c:v>0</c:v>
                </c:pt>
                <c:pt idx="4" formatCode="0.0%">
                  <c:v>0</c:v>
                </c:pt>
                <c:pt idx="5" formatCode="0.0%">
                  <c:v>0</c:v>
                </c:pt>
                <c:pt idx="6" formatCode="0.0%">
                  <c:v>2.4383855383188404E-3</c:v>
                </c:pt>
                <c:pt idx="7" formatCode="0.0%">
                  <c:v>5.035204434859903E-3</c:v>
                </c:pt>
                <c:pt idx="8" formatCode="0.0%">
                  <c:v>7.7918613449275359E-3</c:v>
                </c:pt>
                <c:pt idx="9" formatCode="0.0%">
                  <c:v>1.0709760923826084E-2</c:v>
                </c:pt>
                <c:pt idx="10" formatCode="0.0%">
                  <c:v>1.37903078268599E-2</c:v>
                </c:pt>
                <c:pt idx="11" formatCode="0.0%">
                  <c:v>1.7034906709333334E-2</c:v>
                </c:pt>
                <c:pt idx="12" formatCode="0.0%">
                  <c:v>2.0444962226550727E-2</c:v>
                </c:pt>
                <c:pt idx="13" formatCode="0.0%">
                  <c:v>2.4021879033816421E-2</c:v>
                </c:pt>
                <c:pt idx="14" formatCode="0.0%">
                  <c:v>2.7767061786434778E-2</c:v>
                </c:pt>
                <c:pt idx="15" formatCode="0.0%">
                  <c:v>3.1681915139710144E-2</c:v>
                </c:pt>
                <c:pt idx="16" formatCode="0.0%">
                  <c:v>3.5767843748946856E-2</c:v>
                </c:pt>
                <c:pt idx="17" formatCode="0.0%">
                  <c:v>4.0026252269449274E-2</c:v>
                </c:pt>
                <c:pt idx="18" formatCode="0.0%">
                  <c:v>4.4458545356521738E-2</c:v>
                </c:pt>
                <c:pt idx="19" formatCode="0.0%">
                  <c:v>4.9066127665468584E-2</c:v>
                </c:pt>
                <c:pt idx="20" formatCode="0.0%">
                  <c:v>5.3850403851594203E-2</c:v>
                </c:pt>
                <c:pt idx="21" formatCode="0.0%">
                  <c:v>5.8812778570202881E-2</c:v>
                </c:pt>
                <c:pt idx="22" formatCode="0.0%">
                  <c:v>6.3954656476599037E-2</c:v>
                </c:pt>
                <c:pt idx="23" formatCode="0.0%">
                  <c:v>6.9277442226086949E-2</c:v>
                </c:pt>
                <c:pt idx="24" formatCode="0.0%">
                  <c:v>7.084661729113044E-2</c:v>
                </c:pt>
                <c:pt idx="25" formatCode="0.0%">
                  <c:v>7.242422028800001E-2</c:v>
                </c:pt>
                <c:pt idx="26" formatCode="0.0%">
                  <c:v>7.4010251216695633E-2</c:v>
                </c:pt>
                <c:pt idx="27" formatCode="0.0%">
                  <c:v>7.5604710077217405E-2</c:v>
                </c:pt>
                <c:pt idx="28" formatCode="0.0%">
                  <c:v>7.7207596869565215E-2</c:v>
                </c:pt>
                <c:pt idx="29" formatCode="0.0%">
                  <c:v>7.8818911593739133E-2</c:v>
                </c:pt>
                <c:pt idx="30" formatCode="0.0%">
                  <c:v>8.043865424973913E-2</c:v>
                </c:pt>
                <c:pt idx="31" formatCode="0.0%">
                  <c:v>8.2066824837565194E-2</c:v>
                </c:pt>
                <c:pt idx="32" formatCode="0.0%">
                  <c:v>8.3703423357217407E-2</c:v>
                </c:pt>
                <c:pt idx="33" formatCode="0.0%">
                  <c:v>8.5348449808695645E-2</c:v>
                </c:pt>
              </c:numCache>
            </c:numRef>
          </c:val>
          <c:extLst>
            <c:ext xmlns:c16="http://schemas.microsoft.com/office/drawing/2014/chart" uri="{C3380CC4-5D6E-409C-BE32-E72D297353CC}">
              <c16:uniqueId val="{00000001-1A1D-4A44-A0AF-0472604DEE94}"/>
            </c:ext>
          </c:extLst>
        </c:ser>
        <c:ser>
          <c:idx val="4"/>
          <c:order val="2"/>
          <c:tx>
            <c:strRef>
              <c:f>'Timing calculations'!$HL$6</c:f>
              <c:strCache>
                <c:ptCount val="1"/>
                <c:pt idx="0">
                  <c:v>ICE fuel efficiency@20%BEV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calculations'!$HL$7:$HL$40</c:f>
              <c:numCache>
                <c:formatCode>0.00%</c:formatCode>
                <c:ptCount val="34"/>
                <c:pt idx="0">
                  <c:v>0</c:v>
                </c:pt>
                <c:pt idx="1">
                  <c:v>0</c:v>
                </c:pt>
                <c:pt idx="2">
                  <c:v>0</c:v>
                </c:pt>
                <c:pt idx="3">
                  <c:v>0</c:v>
                </c:pt>
                <c:pt idx="4" formatCode="0.0%">
                  <c:v>5.0072235294117617E-3</c:v>
                </c:pt>
                <c:pt idx="5" formatCode="0.0%">
                  <c:v>1.0047717647058819E-2</c:v>
                </c:pt>
                <c:pt idx="6" formatCode="0.0%">
                  <c:v>1.4113383529411759E-2</c:v>
                </c:pt>
                <c:pt idx="7" formatCode="0.0%">
                  <c:v>1.8205665882352937E-2</c:v>
                </c:pt>
                <c:pt idx="8" formatCode="0.0%">
                  <c:v>2.2324564705882347E-2</c:v>
                </c:pt>
                <c:pt idx="9" formatCode="0.0%">
                  <c:v>2.647007999999999E-2</c:v>
                </c:pt>
                <c:pt idx="10" formatCode="0.0%">
                  <c:v>3.0642211764705864E-2</c:v>
                </c:pt>
                <c:pt idx="11" formatCode="0.0%">
                  <c:v>3.4840959999999983E-2</c:v>
                </c:pt>
                <c:pt idx="12" formatCode="0.0%">
                  <c:v>3.9066324705882331E-2</c:v>
                </c:pt>
                <c:pt idx="13" formatCode="0.0%">
                  <c:v>4.3318305882352928E-2</c:v>
                </c:pt>
                <c:pt idx="14" formatCode="0.0%">
                  <c:v>4.7596903529411733E-2</c:v>
                </c:pt>
                <c:pt idx="15" formatCode="0.0%">
                  <c:v>5.19021176470588E-2</c:v>
                </c:pt>
                <c:pt idx="16" formatCode="0.0%">
                  <c:v>5.6233948235294082E-2</c:v>
                </c:pt>
                <c:pt idx="17" formatCode="0.0%">
                  <c:v>6.0592395294117626E-2</c:v>
                </c:pt>
                <c:pt idx="18" formatCode="0.0%">
                  <c:v>6.4977458823529399E-2</c:v>
                </c:pt>
                <c:pt idx="19" formatCode="0.0%">
                  <c:v>6.9389138823529359E-2</c:v>
                </c:pt>
                <c:pt idx="20" formatCode="0.0%">
                  <c:v>7.3827435294117644E-2</c:v>
                </c:pt>
                <c:pt idx="21" formatCode="0.0%">
                  <c:v>7.3002324705882318E-2</c:v>
                </c:pt>
                <c:pt idx="22" formatCode="0.0%">
                  <c:v>7.2170559999999981E-2</c:v>
                </c:pt>
                <c:pt idx="23" formatCode="0.0%">
                  <c:v>7.1332141176470548E-2</c:v>
                </c:pt>
                <c:pt idx="24" formatCode="0.0%">
                  <c:v>7.2623039999999986E-2</c:v>
                </c:pt>
                <c:pt idx="25" formatCode="0.0%">
                  <c:v>7.2849280000000002E-2</c:v>
                </c:pt>
                <c:pt idx="26" formatCode="0.0%">
                  <c:v>7.3075519999999977E-2</c:v>
                </c:pt>
                <c:pt idx="27" formatCode="0.0%">
                  <c:v>7.3301760000000007E-2</c:v>
                </c:pt>
                <c:pt idx="28" formatCode="0.0%">
                  <c:v>7.3527999999999982E-2</c:v>
                </c:pt>
                <c:pt idx="29" formatCode="0.0%">
                  <c:v>7.3754239999999985E-2</c:v>
                </c:pt>
                <c:pt idx="30" formatCode="0.0%">
                  <c:v>7.3980479999999987E-2</c:v>
                </c:pt>
                <c:pt idx="31" formatCode="0.0%">
                  <c:v>7.4206719999999962E-2</c:v>
                </c:pt>
                <c:pt idx="32" formatCode="0.0%">
                  <c:v>7.4432960000000006E-2</c:v>
                </c:pt>
                <c:pt idx="33" formatCode="0.0%">
                  <c:v>7.4659199999999981E-2</c:v>
                </c:pt>
              </c:numCache>
            </c:numRef>
          </c:val>
          <c:extLst>
            <c:ext xmlns:c16="http://schemas.microsoft.com/office/drawing/2014/chart" uri="{C3380CC4-5D6E-409C-BE32-E72D297353CC}">
              <c16:uniqueId val="{00000002-1A1D-4A44-A0AF-0472604DEE94}"/>
            </c:ext>
          </c:extLst>
        </c:ser>
        <c:ser>
          <c:idx val="0"/>
          <c:order val="3"/>
          <c:tx>
            <c:strRef>
              <c:f>'Timing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calculations'!$FE$7:$FE$40</c:f>
              <c:numCache>
                <c:formatCode>0.00%</c:formatCode>
                <c:ptCount val="34"/>
                <c:pt idx="0">
                  <c:v>0</c:v>
                </c:pt>
                <c:pt idx="1">
                  <c:v>0</c:v>
                </c:pt>
                <c:pt idx="2">
                  <c:v>0</c:v>
                </c:pt>
                <c:pt idx="3">
                  <c:v>0</c:v>
                </c:pt>
                <c:pt idx="4" formatCode="0.0%">
                  <c:v>1.6404866180048626E-2</c:v>
                </c:pt>
                <c:pt idx="5" formatCode="0.0%">
                  <c:v>3.2918734793187389E-2</c:v>
                </c:pt>
                <c:pt idx="6" formatCode="0.0%">
                  <c:v>4.9541605839416067E-2</c:v>
                </c:pt>
                <c:pt idx="7" formatCode="0.0%">
                  <c:v>6.6273479318734771E-2</c:v>
                </c:pt>
                <c:pt idx="8" formatCode="0.0%">
                  <c:v>8.3114355231143619E-2</c:v>
                </c:pt>
                <c:pt idx="9" formatCode="0.0%">
                  <c:v>0.10006423357664236</c:v>
                </c:pt>
                <c:pt idx="10" formatCode="0.0%">
                  <c:v>0.11712311435523112</c:v>
                </c:pt>
                <c:pt idx="11" formatCode="0.0%">
                  <c:v>0.13429099756690993</c:v>
                </c:pt>
                <c:pt idx="12" formatCode="0.0%">
                  <c:v>0.15156788321167874</c:v>
                </c:pt>
                <c:pt idx="13" formatCode="0.0%">
                  <c:v>0.16895377128953773</c:v>
                </c:pt>
                <c:pt idx="14" formatCode="0.0%">
                  <c:v>0.18644866180048658</c:v>
                </c:pt>
                <c:pt idx="15" formatCode="0.0%">
                  <c:v>0.20405255474452549</c:v>
                </c:pt>
                <c:pt idx="16" formatCode="0.0%">
                  <c:v>0.22176545012165449</c:v>
                </c:pt>
                <c:pt idx="17" formatCode="0.0%">
                  <c:v>0.23958734793187345</c:v>
                </c:pt>
                <c:pt idx="18" formatCode="0.0%">
                  <c:v>0.25751824817518243</c:v>
                </c:pt>
                <c:pt idx="19" formatCode="0.0%">
                  <c:v>0.25833576642335754</c:v>
                </c:pt>
                <c:pt idx="20" formatCode="0.0%">
                  <c:v>0.25915328467153281</c:v>
                </c:pt>
                <c:pt idx="21" formatCode="0.0%">
                  <c:v>0.25997080291970803</c:v>
                </c:pt>
                <c:pt idx="22" formatCode="0.0%">
                  <c:v>0.26078832116788325</c:v>
                </c:pt>
                <c:pt idx="23" formatCode="0.0%">
                  <c:v>0.26160583941605842</c:v>
                </c:pt>
                <c:pt idx="24" formatCode="0.0%">
                  <c:v>0.26242335766423358</c:v>
                </c:pt>
                <c:pt idx="25" formatCode="0.0%">
                  <c:v>0.2632408759124088</c:v>
                </c:pt>
                <c:pt idx="26" formatCode="0.0%">
                  <c:v>0.26405839416058391</c:v>
                </c:pt>
                <c:pt idx="27" formatCode="0.0%">
                  <c:v>0.26487591240875918</c:v>
                </c:pt>
                <c:pt idx="28" formatCode="0.0%">
                  <c:v>0.26569343065693429</c:v>
                </c:pt>
                <c:pt idx="29" formatCode="0.0%">
                  <c:v>0.26651094890510951</c:v>
                </c:pt>
                <c:pt idx="30" formatCode="0.0%">
                  <c:v>0.26732846715328468</c:v>
                </c:pt>
                <c:pt idx="31" formatCode="0.0%">
                  <c:v>0.26814598540145979</c:v>
                </c:pt>
                <c:pt idx="32" formatCode="0.0%">
                  <c:v>0.26896350364963512</c:v>
                </c:pt>
                <c:pt idx="33" formatCode="0.0%">
                  <c:v>0.26978102189781017</c:v>
                </c:pt>
              </c:numCache>
            </c:numRef>
          </c:val>
          <c:extLst>
            <c:ext xmlns:c16="http://schemas.microsoft.com/office/drawing/2014/chart" uri="{C3380CC4-5D6E-409C-BE32-E72D297353CC}">
              <c16:uniqueId val="{00000004-1A1D-4A44-A0AF-0472604DEE94}"/>
            </c:ext>
          </c:extLst>
        </c:ser>
        <c:ser>
          <c:idx val="12"/>
          <c:order val="4"/>
          <c:tx>
            <c:strRef>
              <c:f>'Timing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calculations'!$FF$7:$FF$40</c:f>
              <c:numCache>
                <c:formatCode>0.00%</c:formatCode>
                <c:ptCount val="34"/>
                <c:pt idx="0">
                  <c:v>0</c:v>
                </c:pt>
                <c:pt idx="1">
                  <c:v>0</c:v>
                </c:pt>
                <c:pt idx="2">
                  <c:v>0</c:v>
                </c:pt>
                <c:pt idx="3">
                  <c:v>0</c:v>
                </c:pt>
                <c:pt idx="4" formatCode="0.0%">
                  <c:v>3.4909164639092124E-3</c:v>
                </c:pt>
                <c:pt idx="5" formatCode="0.0%">
                  <c:v>7.0050283860502681E-3</c:v>
                </c:pt>
                <c:pt idx="6" formatCode="0.0%">
                  <c:v>1.0542335766423392E-2</c:v>
                </c:pt>
                <c:pt idx="7" formatCode="0.0%">
                  <c:v>1.4102838605028357E-2</c:v>
                </c:pt>
                <c:pt idx="8" formatCode="0.0%">
                  <c:v>1.7686536901865391E-2</c:v>
                </c:pt>
                <c:pt idx="9" formatCode="0.0%">
                  <c:v>2.1293430656934259E-2</c:v>
                </c:pt>
                <c:pt idx="10" formatCode="0.0%">
                  <c:v>2.4923519870235198E-2</c:v>
                </c:pt>
                <c:pt idx="11" formatCode="0.0%">
                  <c:v>2.8576804541768096E-2</c:v>
                </c:pt>
                <c:pt idx="12" formatCode="0.0%">
                  <c:v>3.2253284671532836E-2</c:v>
                </c:pt>
                <c:pt idx="13" formatCode="0.0%">
                  <c:v>3.595296025952964E-2</c:v>
                </c:pt>
                <c:pt idx="14" formatCode="0.0%">
                  <c:v>3.9675831305758281E-2</c:v>
                </c:pt>
                <c:pt idx="15" formatCode="0.0%">
                  <c:v>4.3421897810218997E-2</c:v>
                </c:pt>
                <c:pt idx="16" formatCode="0.0%">
                  <c:v>4.7191159772911551E-2</c:v>
                </c:pt>
                <c:pt idx="17" formatCode="0.0%">
                  <c:v>5.0983617193836178E-2</c:v>
                </c:pt>
                <c:pt idx="18" formatCode="0.0%">
                  <c:v>5.4799270072992644E-2</c:v>
                </c:pt>
                <c:pt idx="19" formatCode="0.0%">
                  <c:v>5.8638118410381156E-2</c:v>
                </c:pt>
                <c:pt idx="20" formatCode="0.0%">
                  <c:v>6.2500162206001672E-2</c:v>
                </c:pt>
                <c:pt idx="21" formatCode="0.0%">
                  <c:v>6.6385401459853971E-2</c:v>
                </c:pt>
                <c:pt idx="22" formatCode="0.0%">
                  <c:v>7.0293836171938379E-2</c:v>
                </c:pt>
                <c:pt idx="23" formatCode="0.0%">
                  <c:v>7.4225466342254742E-2</c:v>
                </c:pt>
                <c:pt idx="24" formatCode="0.0%">
                  <c:v>7.8180291970802937E-2</c:v>
                </c:pt>
                <c:pt idx="25" formatCode="0.0%">
                  <c:v>8.2158313057583199E-2</c:v>
                </c:pt>
                <c:pt idx="26" formatCode="0.0%">
                  <c:v>8.6159529602595264E-2</c:v>
                </c:pt>
                <c:pt idx="27" formatCode="0.0%">
                  <c:v>9.0183941605839479E-2</c:v>
                </c:pt>
                <c:pt idx="28" formatCode="0.0%">
                  <c:v>9.4231549067315581E-2</c:v>
                </c:pt>
                <c:pt idx="29" formatCode="0.0%">
                  <c:v>9.8302351987023542E-2</c:v>
                </c:pt>
                <c:pt idx="30" formatCode="0.0%">
                  <c:v>0.10239635036496358</c:v>
                </c:pt>
                <c:pt idx="31" formatCode="0.0%">
                  <c:v>0.10651354420113543</c:v>
                </c:pt>
                <c:pt idx="32" formatCode="0.0%">
                  <c:v>0.11065393349553942</c:v>
                </c:pt>
                <c:pt idx="33" formatCode="0.0%">
                  <c:v>0.11481751824817528</c:v>
                </c:pt>
              </c:numCache>
            </c:numRef>
          </c:val>
          <c:extLst>
            <c:ext xmlns:c16="http://schemas.microsoft.com/office/drawing/2014/chart" uri="{C3380CC4-5D6E-409C-BE32-E72D297353CC}">
              <c16:uniqueId val="{00000006-1A1D-4A44-A0AF-0472604DEE94}"/>
            </c:ext>
          </c:extLst>
        </c:ser>
        <c:ser>
          <c:idx val="7"/>
          <c:order val="5"/>
          <c:tx>
            <c:strRef>
              <c:f>'Timing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calculations'!$FG$7:$FG$40</c:f>
              <c:numCache>
                <c:formatCode>0.00%</c:formatCode>
                <c:ptCount val="34"/>
                <c:pt idx="0">
                  <c:v>0</c:v>
                </c:pt>
                <c:pt idx="1">
                  <c:v>0</c:v>
                </c:pt>
                <c:pt idx="2">
                  <c:v>0</c:v>
                </c:pt>
                <c:pt idx="3">
                  <c:v>0</c:v>
                </c:pt>
                <c:pt idx="4" formatCode="0.0%">
                  <c:v>1.684428223844281E-3</c:v>
                </c:pt>
                <c:pt idx="5" formatCode="0.0%">
                  <c:v>3.3800486618004843E-3</c:v>
                </c:pt>
                <c:pt idx="6" formatCode="0.0%">
                  <c:v>5.0868613138686106E-3</c:v>
                </c:pt>
                <c:pt idx="7" formatCode="0.0%">
                  <c:v>6.8048661800486588E-3</c:v>
                </c:pt>
                <c:pt idx="8" formatCode="0.0%">
                  <c:v>8.534063260340629E-3</c:v>
                </c:pt>
                <c:pt idx="9" formatCode="0.0%">
                  <c:v>1.0274452554744519E-2</c:v>
                </c:pt>
                <c:pt idx="10" formatCode="0.0%">
                  <c:v>1.2026034063260332E-2</c:v>
                </c:pt>
                <c:pt idx="11" formatCode="0.0%">
                  <c:v>1.378880778588807E-2</c:v>
                </c:pt>
                <c:pt idx="12" formatCode="0.0%">
                  <c:v>1.5562773722627729E-2</c:v>
                </c:pt>
                <c:pt idx="13" formatCode="0.0%">
                  <c:v>1.734793187347931E-2</c:v>
                </c:pt>
                <c:pt idx="14" formatCode="0.0%">
                  <c:v>1.9144282238442809E-2</c:v>
                </c:pt>
                <c:pt idx="15" formatCode="0.0%">
                  <c:v>2.0951824817518238E-2</c:v>
                </c:pt>
                <c:pt idx="16" formatCode="0.0%">
                  <c:v>2.2770559610705583E-2</c:v>
                </c:pt>
                <c:pt idx="17" formatCode="0.0%">
                  <c:v>2.460048661800485E-2</c:v>
                </c:pt>
                <c:pt idx="18" formatCode="0.0%">
                  <c:v>2.6441605839416044E-2</c:v>
                </c:pt>
                <c:pt idx="19" formatCode="0.0%">
                  <c:v>2.829391727493915E-2</c:v>
                </c:pt>
                <c:pt idx="20" formatCode="0.0%">
                  <c:v>3.0157420924574199E-2</c:v>
                </c:pt>
                <c:pt idx="21" formatCode="0.0%">
                  <c:v>3.2032116788321144E-2</c:v>
                </c:pt>
                <c:pt idx="22" formatCode="0.0%">
                  <c:v>3.3918004866180025E-2</c:v>
                </c:pt>
                <c:pt idx="23" formatCode="0.0%">
                  <c:v>3.5815085158150829E-2</c:v>
                </c:pt>
                <c:pt idx="24" formatCode="0.0%">
                  <c:v>3.7723357664233556E-2</c:v>
                </c:pt>
                <c:pt idx="25" formatCode="0.0%">
                  <c:v>3.9642822384428206E-2</c:v>
                </c:pt>
                <c:pt idx="26" formatCode="0.0%">
                  <c:v>4.1573479318734764E-2</c:v>
                </c:pt>
                <c:pt idx="27" formatCode="0.0%">
                  <c:v>4.3515328467153273E-2</c:v>
                </c:pt>
                <c:pt idx="28" formatCode="0.0%">
                  <c:v>4.5468369829683671E-2</c:v>
                </c:pt>
                <c:pt idx="29" formatCode="0.0%">
                  <c:v>4.7432603406326004E-2</c:v>
                </c:pt>
                <c:pt idx="30" formatCode="0.0%">
                  <c:v>4.9408029197080268E-2</c:v>
                </c:pt>
                <c:pt idx="31" formatCode="0.0%">
                  <c:v>5.1394647201946426E-2</c:v>
                </c:pt>
                <c:pt idx="32" formatCode="0.0%">
                  <c:v>5.3392457420924556E-2</c:v>
                </c:pt>
                <c:pt idx="33" formatCode="0.0%">
                  <c:v>5.5401459854014561E-2</c:v>
                </c:pt>
              </c:numCache>
            </c:numRef>
          </c:val>
          <c:extLst>
            <c:ext xmlns:c16="http://schemas.microsoft.com/office/drawing/2014/chart" uri="{C3380CC4-5D6E-409C-BE32-E72D297353CC}">
              <c16:uniqueId val="{00000008-1A1D-4A44-A0AF-0472604DEE94}"/>
            </c:ext>
          </c:extLst>
        </c:ser>
        <c:ser>
          <c:idx val="5"/>
          <c:order val="6"/>
          <c:tx>
            <c:strRef>
              <c:f>'Timing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calculations'!$FH$7:$FH$40</c:f>
              <c:numCache>
                <c:formatCode>0.00%</c:formatCode>
                <c:ptCount val="34"/>
                <c:pt idx="0">
                  <c:v>0</c:v>
                </c:pt>
                <c:pt idx="1">
                  <c:v>0</c:v>
                </c:pt>
                <c:pt idx="2">
                  <c:v>0</c:v>
                </c:pt>
                <c:pt idx="3">
                  <c:v>0</c:v>
                </c:pt>
                <c:pt idx="4" formatCode="0.0%">
                  <c:v>4.5149999999999479E-3</c:v>
                </c:pt>
                <c:pt idx="5" formatCode="0.0%">
                  <c:v>9.0600000000000073E-3</c:v>
                </c:pt>
                <c:pt idx="6" formatCode="0.0%">
                  <c:v>1.3634999999999956E-2</c:v>
                </c:pt>
                <c:pt idx="7" formatCode="0.0%">
                  <c:v>1.8240000000000017E-2</c:v>
                </c:pt>
                <c:pt idx="8" formatCode="0.0%">
                  <c:v>2.2874999999999968E-2</c:v>
                </c:pt>
                <c:pt idx="9" formatCode="0.0%">
                  <c:v>2.7540000000000026E-2</c:v>
                </c:pt>
                <c:pt idx="10" formatCode="0.0%">
                  <c:v>3.2234999999999965E-2</c:v>
                </c:pt>
                <c:pt idx="11" formatCode="0.0%">
                  <c:v>3.6960000000000028E-2</c:v>
                </c:pt>
                <c:pt idx="12" formatCode="0.0%">
                  <c:v>4.1714999999999981E-2</c:v>
                </c:pt>
                <c:pt idx="13" formatCode="0.0%">
                  <c:v>4.6500000000000048E-2</c:v>
                </c:pt>
                <c:pt idx="14" formatCode="0.0%">
                  <c:v>5.1314999999999986E-2</c:v>
                </c:pt>
                <c:pt idx="15" formatCode="0.0%">
                  <c:v>5.616000000000005E-2</c:v>
                </c:pt>
                <c:pt idx="16" formatCode="0.0%">
                  <c:v>6.1034999999999992E-2</c:v>
                </c:pt>
                <c:pt idx="17" formatCode="0.0%">
                  <c:v>6.5940000000000054E-2</c:v>
                </c:pt>
                <c:pt idx="18" formatCode="0.0%">
                  <c:v>7.0875000000000007E-2</c:v>
                </c:pt>
                <c:pt idx="19" formatCode="0.0%">
                  <c:v>7.1099999999999983E-2</c:v>
                </c:pt>
                <c:pt idx="20" formatCode="0.0%">
                  <c:v>7.1325000000000013E-2</c:v>
                </c:pt>
                <c:pt idx="21" formatCode="0.0%">
                  <c:v>7.1549999999999989E-2</c:v>
                </c:pt>
                <c:pt idx="22" formatCode="0.0%">
                  <c:v>7.1775000000000005E-2</c:v>
                </c:pt>
                <c:pt idx="23" formatCode="0.0%">
                  <c:v>7.2000000000000008E-2</c:v>
                </c:pt>
                <c:pt idx="24" formatCode="0.0%">
                  <c:v>7.2225000000000011E-2</c:v>
                </c:pt>
                <c:pt idx="25" formatCode="0.0%">
                  <c:v>7.2450000000000014E-2</c:v>
                </c:pt>
                <c:pt idx="26" formatCode="0.0%">
                  <c:v>7.267499999999999E-2</c:v>
                </c:pt>
                <c:pt idx="27" formatCode="0.0%">
                  <c:v>7.290000000000002E-2</c:v>
                </c:pt>
                <c:pt idx="28" formatCode="0.0%">
                  <c:v>7.3124999999999996E-2</c:v>
                </c:pt>
                <c:pt idx="29" formatCode="0.0%">
                  <c:v>7.3349999999999999E-2</c:v>
                </c:pt>
                <c:pt idx="30" formatCode="0.0%">
                  <c:v>7.3575000000000015E-2</c:v>
                </c:pt>
                <c:pt idx="31" formatCode="0.0%">
                  <c:v>7.3799999999999991E-2</c:v>
                </c:pt>
                <c:pt idx="32" formatCode="0.0%">
                  <c:v>7.4025000000000021E-2</c:v>
                </c:pt>
                <c:pt idx="33" formatCode="0.0%">
                  <c:v>7.4249999999999997E-2</c:v>
                </c:pt>
              </c:numCache>
            </c:numRef>
          </c:val>
          <c:extLst>
            <c:ext xmlns:c16="http://schemas.microsoft.com/office/drawing/2014/chart" uri="{C3380CC4-5D6E-409C-BE32-E72D297353CC}">
              <c16:uniqueId val="{0000000A-1A1D-4A44-A0AF-0472604DEE94}"/>
            </c:ext>
          </c:extLst>
        </c:ser>
        <c:ser>
          <c:idx val="9"/>
          <c:order val="7"/>
          <c:tx>
            <c:strRef>
              <c:f>'Timing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8.798076923077345E-4</c:v>
                </c:pt>
                <c:pt idx="9" formatCode="0.0%">
                  <c:v>1.7653846153845864E-3</c:v>
                </c:pt>
                <c:pt idx="10" formatCode="0.0%">
                  <c:v>2.6567307692307823E-3</c:v>
                </c:pt>
                <c:pt idx="11" formatCode="0.0%">
                  <c:v>3.5538461538462095E-3</c:v>
                </c:pt>
                <c:pt idx="12" formatCode="0.0%">
                  <c:v>4.4567307692307536E-3</c:v>
                </c:pt>
                <c:pt idx="13" formatCode="0.0%">
                  <c:v>5.3653846153846425E-3</c:v>
                </c:pt>
                <c:pt idx="14" formatCode="0.0%">
                  <c:v>6.2798076923076471E-3</c:v>
                </c:pt>
                <c:pt idx="15" formatCode="0.0%">
                  <c:v>7.1999999999999981E-3</c:v>
                </c:pt>
                <c:pt idx="16" formatCode="0.0%">
                  <c:v>8.1259615384615784E-3</c:v>
                </c:pt>
                <c:pt idx="17" formatCode="0.0%">
                  <c:v>9.0576923076922753E-3</c:v>
                </c:pt>
                <c:pt idx="18" formatCode="0.0%">
                  <c:v>9.9951923076923195E-3</c:v>
                </c:pt>
                <c:pt idx="19" formatCode="0.0%">
                  <c:v>1.093846153846159E-2</c:v>
                </c:pt>
                <c:pt idx="20" formatCode="0.0%">
                  <c:v>1.1887499999999983E-2</c:v>
                </c:pt>
                <c:pt idx="21" formatCode="0.0%">
                  <c:v>1.2842307692307715E-2</c:v>
                </c:pt>
                <c:pt idx="22" formatCode="0.0%">
                  <c:v>1.3802884615384566E-2</c:v>
                </c:pt>
                <c:pt idx="23" formatCode="0.0%">
                  <c:v>1.4769230769230764E-2</c:v>
                </c:pt>
                <c:pt idx="24" formatCode="0.0%">
                  <c:v>1.5741346153846193E-2</c:v>
                </c:pt>
                <c:pt idx="25" formatCode="0.0%">
                  <c:v>1.6719230769230736E-2</c:v>
                </c:pt>
                <c:pt idx="26" formatCode="0.0%">
                  <c:v>1.770288461538462E-2</c:v>
                </c:pt>
                <c:pt idx="27" formatCode="0.0%">
                  <c:v>1.8692307692307751E-2</c:v>
                </c:pt>
                <c:pt idx="28" formatCode="0.0%">
                  <c:v>1.9687499999999976E-2</c:v>
                </c:pt>
                <c:pt idx="29" formatCode="0.0%">
                  <c:v>2.0688461538461562E-2</c:v>
                </c:pt>
                <c:pt idx="30" formatCode="0.0%">
                  <c:v>2.1695192307692256E-2</c:v>
                </c:pt>
                <c:pt idx="31" formatCode="0.0%">
                  <c:v>2.2707692307692293E-2</c:v>
                </c:pt>
                <c:pt idx="32" formatCode="0.0%">
                  <c:v>2.3725961538461581E-2</c:v>
                </c:pt>
                <c:pt idx="33" formatCode="0.0%">
                  <c:v>2.474999999999996E-2</c:v>
                </c:pt>
              </c:numCache>
            </c:numRef>
          </c:val>
          <c:extLst>
            <c:ext xmlns:c16="http://schemas.microsoft.com/office/drawing/2014/chart" uri="{C3380CC4-5D6E-409C-BE32-E72D297353CC}">
              <c16:uniqueId val="{0000000C-1A1D-4A44-A0AF-0472604DEE94}"/>
            </c:ext>
          </c:extLst>
        </c:ser>
        <c:ser>
          <c:idx val="6"/>
          <c:order val="8"/>
          <c:tx>
            <c:strRef>
              <c:f>'Timing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calculations'!$FJ$7:$FJ$40</c:f>
              <c:numCache>
                <c:formatCode>0.00%</c:formatCode>
                <c:ptCount val="34"/>
                <c:pt idx="0">
                  <c:v>0</c:v>
                </c:pt>
                <c:pt idx="1">
                  <c:v>0</c:v>
                </c:pt>
                <c:pt idx="2">
                  <c:v>0</c:v>
                </c:pt>
                <c:pt idx="3">
                  <c:v>0</c:v>
                </c:pt>
                <c:pt idx="4" formatCode="0.0%">
                  <c:v>0</c:v>
                </c:pt>
                <c:pt idx="5" formatCode="0.0%">
                  <c:v>0</c:v>
                </c:pt>
                <c:pt idx="6" formatCode="0.0%">
                  <c:v>2.524999999999722E-4</c:v>
                </c:pt>
                <c:pt idx="7" formatCode="0.0%">
                  <c:v>5.0666666666661093E-4</c:v>
                </c:pt>
                <c:pt idx="8" formatCode="0.0%">
                  <c:v>7.62500000000029E-4</c:v>
                </c:pt>
                <c:pt idx="9" formatCode="0.0%">
                  <c:v>1.0200000000000009E-3</c:v>
                </c:pt>
                <c:pt idx="10" formatCode="0.0%">
                  <c:v>1.2791666666666392E-3</c:v>
                </c:pt>
                <c:pt idx="11" formatCode="0.0%">
                  <c:v>1.5399999999999444E-3</c:v>
                </c:pt>
                <c:pt idx="12" formatCode="0.0%">
                  <c:v>1.8025000000000302E-3</c:v>
                </c:pt>
                <c:pt idx="13" formatCode="0.0%">
                  <c:v>2.0666666666666689E-3</c:v>
                </c:pt>
                <c:pt idx="14" formatCode="0.0%">
                  <c:v>2.332499999999973E-3</c:v>
                </c:pt>
                <c:pt idx="15" formatCode="0.0%">
                  <c:v>2.5999999999999448E-3</c:v>
                </c:pt>
                <c:pt idx="16" formatCode="0.0%">
                  <c:v>2.8691666666666978E-3</c:v>
                </c:pt>
                <c:pt idx="17" formatCode="0.0%">
                  <c:v>3.1400000000000026E-3</c:v>
                </c:pt>
                <c:pt idx="18" formatCode="0.0%">
                  <c:v>3.4124999999999741E-3</c:v>
                </c:pt>
                <c:pt idx="19" formatCode="0.0%">
                  <c:v>3.6866666666666103E-3</c:v>
                </c:pt>
                <c:pt idx="20" formatCode="0.0%">
                  <c:v>3.9625000000000337E-3</c:v>
                </c:pt>
                <c:pt idx="21" formatCode="0.0%">
                  <c:v>4.2400000000000033E-3</c:v>
                </c:pt>
                <c:pt idx="22" formatCode="0.0%">
                  <c:v>4.519166666666641E-3</c:v>
                </c:pt>
                <c:pt idx="23" formatCode="0.0%">
                  <c:v>4.7999999999999449E-3</c:v>
                </c:pt>
                <c:pt idx="24" formatCode="0.0%">
                  <c:v>5.0825000000000349E-3</c:v>
                </c:pt>
                <c:pt idx="25" formatCode="0.0%">
                  <c:v>5.3666666666666724E-3</c:v>
                </c:pt>
                <c:pt idx="26" formatCode="0.0%">
                  <c:v>5.6524999999999735E-3</c:v>
                </c:pt>
                <c:pt idx="27" formatCode="0.0%">
                  <c:v>5.9399999999999471E-3</c:v>
                </c:pt>
                <c:pt idx="28" formatCode="0.0%">
                  <c:v>6.2291666666667023E-3</c:v>
                </c:pt>
                <c:pt idx="29" formatCode="0.0%">
                  <c:v>6.5200000000000058E-3</c:v>
                </c:pt>
                <c:pt idx="30" formatCode="0.0%">
                  <c:v>6.8124999999999766E-3</c:v>
                </c:pt>
                <c:pt idx="31" formatCode="0.0%">
                  <c:v>7.1066666666666101E-3</c:v>
                </c:pt>
                <c:pt idx="32" formatCode="0.0%">
                  <c:v>7.4025000000000384E-3</c:v>
                </c:pt>
                <c:pt idx="33" formatCode="0.0%">
                  <c:v>7.7000000000000063E-3</c:v>
                </c:pt>
              </c:numCache>
            </c:numRef>
          </c:val>
          <c:extLst>
            <c:ext xmlns:c16="http://schemas.microsoft.com/office/drawing/2014/chart" uri="{C3380CC4-5D6E-409C-BE32-E72D297353CC}">
              <c16:uniqueId val="{0000000D-1A1D-4A44-A0AF-0472604DEE94}"/>
            </c:ext>
          </c:extLst>
        </c:ser>
        <c:ser>
          <c:idx val="3"/>
          <c:order val="9"/>
          <c:tx>
            <c:strRef>
              <c:f>'Timing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calculations'!$FK$7:$FK$40</c:f>
              <c:numCache>
                <c:formatCode>0.00%</c:formatCode>
                <c:ptCount val="34"/>
                <c:pt idx="0">
                  <c:v>0</c:v>
                </c:pt>
                <c:pt idx="1">
                  <c:v>0</c:v>
                </c:pt>
                <c:pt idx="2">
                  <c:v>0</c:v>
                </c:pt>
                <c:pt idx="3">
                  <c:v>0</c:v>
                </c:pt>
                <c:pt idx="4" formatCode="0.0%">
                  <c:v>9.6319999999996064E-4</c:v>
                </c:pt>
                <c:pt idx="5" formatCode="0.0%">
                  <c:v>1.9328000000000329E-3</c:v>
                </c:pt>
                <c:pt idx="6" formatCode="0.0%">
                  <c:v>2.9087999999999935E-3</c:v>
                </c:pt>
                <c:pt idx="7" formatCode="0.0%">
                  <c:v>3.8911999999999541E-3</c:v>
                </c:pt>
                <c:pt idx="8" formatCode="0.0%">
                  <c:v>4.8800000000000275E-3</c:v>
                </c:pt>
                <c:pt idx="9" formatCode="0.0%">
                  <c:v>5.8751999999999876E-3</c:v>
                </c:pt>
                <c:pt idx="10" formatCode="0.0%">
                  <c:v>6.876799999999946E-3</c:v>
                </c:pt>
                <c:pt idx="11" formatCode="0.0%">
                  <c:v>7.8848000000000199E-3</c:v>
                </c:pt>
                <c:pt idx="12" formatCode="0.0%">
                  <c:v>8.8991999999999804E-3</c:v>
                </c:pt>
                <c:pt idx="13" formatCode="0.0%">
                  <c:v>9.9200000000000555E-3</c:v>
                </c:pt>
                <c:pt idx="14" formatCode="0.0%">
                  <c:v>1.0947200000000015E-2</c:v>
                </c:pt>
                <c:pt idx="15" formatCode="0.0%">
                  <c:v>1.1980799999999974E-2</c:v>
                </c:pt>
                <c:pt idx="16" formatCode="0.0%">
                  <c:v>1.3020800000000048E-2</c:v>
                </c:pt>
                <c:pt idx="17" formatCode="0.0%">
                  <c:v>1.4067200000000007E-2</c:v>
                </c:pt>
                <c:pt idx="18" formatCode="0.0%">
                  <c:v>1.5119999999999967E-2</c:v>
                </c:pt>
                <c:pt idx="19" formatCode="0.0%">
                  <c:v>1.6179200000000036E-2</c:v>
                </c:pt>
                <c:pt idx="20" formatCode="0.0%">
                  <c:v>1.7244800000000005E-2</c:v>
                </c:pt>
                <c:pt idx="21" formatCode="0.0%">
                  <c:v>1.8316799999999956E-2</c:v>
                </c:pt>
                <c:pt idx="22" formatCode="0.0%">
                  <c:v>1.9395200000000036E-2</c:v>
                </c:pt>
                <c:pt idx="23" formatCode="0.0%">
                  <c:v>2.0479999999999995E-2</c:v>
                </c:pt>
                <c:pt idx="24" formatCode="0.0%">
                  <c:v>2.1571199999999954E-2</c:v>
                </c:pt>
                <c:pt idx="25" formatCode="0.0%">
                  <c:v>2.2668800000000034E-2</c:v>
                </c:pt>
                <c:pt idx="26" formatCode="0.0%">
                  <c:v>2.3772799999999983E-2</c:v>
                </c:pt>
                <c:pt idx="27" formatCode="0.0%">
                  <c:v>2.4883199999999953E-2</c:v>
                </c:pt>
                <c:pt idx="28" formatCode="0.0%">
                  <c:v>2.600000000000002E-2</c:v>
                </c:pt>
                <c:pt idx="29" formatCode="0.0%">
                  <c:v>2.7123199999999979E-2</c:v>
                </c:pt>
                <c:pt idx="30" formatCode="0.0%">
                  <c:v>2.8252799999999939E-2</c:v>
                </c:pt>
                <c:pt idx="31" formatCode="0.0%">
                  <c:v>2.938880000000001E-2</c:v>
                </c:pt>
                <c:pt idx="32" formatCode="0.0%">
                  <c:v>3.0531199999999981E-2</c:v>
                </c:pt>
                <c:pt idx="33" formatCode="0.0%">
                  <c:v>3.1679999999999923E-2</c:v>
                </c:pt>
              </c:numCache>
            </c:numRef>
          </c:val>
          <c:extLst>
            <c:ext xmlns:c16="http://schemas.microsoft.com/office/drawing/2014/chart" uri="{C3380CC4-5D6E-409C-BE32-E72D297353CC}">
              <c16:uniqueId val="{0000000F-1A1D-4A44-A0AF-0472604DEE94}"/>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1A1D-4A44-A0AF-0472604DEE94}"/>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1A1D-4A44-A0AF-0472604DEE94}"/>
              </c:ext>
            </c:extLst>
          </c:dPt>
          <c:dLbls>
            <c:dLbl>
              <c:idx val="3"/>
              <c:layout>
                <c:manualLayout>
                  <c:x val="-3.9204877563181535E-2"/>
                  <c:y val="0.31823915894335314"/>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2141830674909949"/>
                      <c:h val="2.4749568359147243E-2"/>
                    </c:manualLayout>
                  </c15:layout>
                </c:ext>
                <c:ext xmlns:c16="http://schemas.microsoft.com/office/drawing/2014/chart" uri="{C3380CC4-5D6E-409C-BE32-E72D297353CC}">
                  <c16:uniqueId val="{00000011-1A1D-4A44-A0AF-0472604DEE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12-1A1D-4A44-A0AF-0472604DEE94}"/>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3-1A1D-4A44-A0AF-0472604DEE94}"/>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10%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calculations'!$HX$6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calculations'!$HX$7:$HX$40</c:f>
              <c:numCache>
                <c:formatCode>0%</c:formatCode>
                <c:ptCount val="34"/>
                <c:pt idx="0">
                  <c:v>1</c:v>
                </c:pt>
                <c:pt idx="1">
                  <c:v>0.98333333333333328</c:v>
                </c:pt>
                <c:pt idx="2">
                  <c:v>0.96666666666666656</c:v>
                </c:pt>
                <c:pt idx="3" formatCode="0.00%">
                  <c:v>0.95</c:v>
                </c:pt>
                <c:pt idx="4" formatCode="0.00%">
                  <c:v>0.92126769893611948</c:v>
                </c:pt>
                <c:pt idx="5" formatCode="0.00%">
                  <c:v>0.89232233717856968</c:v>
                </c:pt>
                <c:pt idx="6" formatCode="0.00%">
                  <c:v>0.86219627136995614</c:v>
                </c:pt>
                <c:pt idx="7" formatCode="0.00%">
                  <c:v>0.8317795885807191</c:v>
                </c:pt>
                <c:pt idx="8" formatCode="0.00%">
                  <c:v>0.80019177879089842</c:v>
                </c:pt>
                <c:pt idx="9" formatCode="0.00%">
                  <c:v>0.76830617813438118</c:v>
                </c:pt>
                <c:pt idx="10" formatCode="0.00%">
                  <c:v>0.73612208428351467</c:v>
                </c:pt>
                <c:pt idx="11" formatCode="0.00%">
                  <c:v>0.70363879491064651</c:v>
                </c:pt>
                <c:pt idx="12" formatCode="0.00%">
                  <c:v>0.67085560768812513</c:v>
                </c:pt>
                <c:pt idx="13" formatCode="0.00%">
                  <c:v>0.6377718202882976</c:v>
                </c:pt>
                <c:pt idx="14" formatCode="0.00%">
                  <c:v>0.60438673038351276</c:v>
                </c:pt>
                <c:pt idx="15" formatCode="0.00%">
                  <c:v>0.57069963564611759</c:v>
                </c:pt>
                <c:pt idx="16" formatCode="0.00%">
                  <c:v>0.53670983374846004</c:v>
                </c:pt>
                <c:pt idx="17" formatCode="0.00%">
                  <c:v>0.50241662236288809</c:v>
                </c:pt>
                <c:pt idx="18" formatCode="0.00%">
                  <c:v>0.46781929916175002</c:v>
                </c:pt>
                <c:pt idx="19" formatCode="0.00%">
                  <c:v>0.45487954624561644</c:v>
                </c:pt>
                <c:pt idx="20" formatCode="0.00%">
                  <c:v>0.44177327929170218</c:v>
                </c:pt>
                <c:pt idx="21" formatCode="0.00%">
                  <c:v>0.43378981950176665</c:v>
                </c:pt>
                <c:pt idx="22" formatCode="0.00%">
                  <c:v>0.42567171160698081</c:v>
                </c:pt>
                <c:pt idx="23" formatCode="0.00%">
                  <c:v>0.41741825327969329</c:v>
                </c:pt>
                <c:pt idx="24" formatCode="0.00%">
                  <c:v>0.40992871790131868</c:v>
                </c:pt>
                <c:pt idx="25" formatCode="0.00%">
                  <c:v>0.40291907439901553</c:v>
                </c:pt>
                <c:pt idx="26" formatCode="0.00%">
                  <c:v>0.39585699336102032</c:v>
                </c:pt>
                <c:pt idx="27" formatCode="0.00%">
                  <c:v>0.38874247478733159</c:v>
                </c:pt>
                <c:pt idx="28" formatCode="0.00%">
                  <c:v>0.38157551867795036</c:v>
                </c:pt>
                <c:pt idx="29" formatCode="0.00%">
                  <c:v>0.37435612503287641</c:v>
                </c:pt>
                <c:pt idx="30" formatCode="0.00%">
                  <c:v>0.36708429385210972</c:v>
                </c:pt>
                <c:pt idx="31" formatCode="0.00%">
                  <c:v>0.3597600251356502</c:v>
                </c:pt>
                <c:pt idx="32" formatCode="0.00%">
                  <c:v>0.35238331888349717</c:v>
                </c:pt>
                <c:pt idx="33" formatCode="0.00%">
                  <c:v>0.34495417509565229</c:v>
                </c:pt>
              </c:numCache>
            </c:numRef>
          </c:val>
          <c:extLst>
            <c:ext xmlns:c16="http://schemas.microsoft.com/office/drawing/2014/chart" uri="{C3380CC4-5D6E-409C-BE32-E72D297353CC}">
              <c16:uniqueId val="{00000000-657F-4CE8-9A40-028951C45F1C}"/>
            </c:ext>
          </c:extLst>
        </c:ser>
        <c:ser>
          <c:idx val="11"/>
          <c:order val="1"/>
          <c:tx>
            <c:strRef>
              <c:f>'Timing calculations'!$HZ$6</c:f>
              <c:strCache>
                <c:ptCount val="1"/>
                <c:pt idx="0">
                  <c:v>10%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calculations'!$HZ$7:$HZ$40</c:f>
              <c:numCache>
                <c:formatCode>0.00%</c:formatCode>
                <c:ptCount val="34"/>
                <c:pt idx="0">
                  <c:v>0</c:v>
                </c:pt>
                <c:pt idx="1">
                  <c:v>0</c:v>
                </c:pt>
                <c:pt idx="2">
                  <c:v>0</c:v>
                </c:pt>
                <c:pt idx="3">
                  <c:v>0</c:v>
                </c:pt>
                <c:pt idx="4" formatCode="0.0%">
                  <c:v>0</c:v>
                </c:pt>
                <c:pt idx="5" formatCode="0.0%">
                  <c:v>0</c:v>
                </c:pt>
                <c:pt idx="6" formatCode="0.0%">
                  <c:v>1.2191927691594189E-3</c:v>
                </c:pt>
                <c:pt idx="7" formatCode="0.0%">
                  <c:v>2.5176022174299489E-3</c:v>
                </c:pt>
                <c:pt idx="8" formatCode="0.0%">
                  <c:v>3.8959306724637645E-3</c:v>
                </c:pt>
                <c:pt idx="9" formatCode="0.0%">
                  <c:v>5.3548804619130376E-3</c:v>
                </c:pt>
                <c:pt idx="10" formatCode="0.0%">
                  <c:v>6.8951539134299439E-3</c:v>
                </c:pt>
                <c:pt idx="11" formatCode="0.0%">
                  <c:v>8.5174533546666584E-3</c:v>
                </c:pt>
                <c:pt idx="12" formatCode="0.0%">
                  <c:v>1.0222481113275353E-2</c:v>
                </c:pt>
                <c:pt idx="13" formatCode="0.0%">
                  <c:v>1.2010939516908202E-2</c:v>
                </c:pt>
                <c:pt idx="14" formatCode="0.0%">
                  <c:v>1.3883530893217378E-2</c:v>
                </c:pt>
                <c:pt idx="15" formatCode="0.0%">
                  <c:v>1.5840957569855062E-2</c:v>
                </c:pt>
                <c:pt idx="16" formatCode="0.0%">
                  <c:v>1.7883921874473411E-2</c:v>
                </c:pt>
                <c:pt idx="17" formatCode="0.0%">
                  <c:v>2.0013126134724623E-2</c:v>
                </c:pt>
                <c:pt idx="18" formatCode="0.0%">
                  <c:v>2.2229272678260855E-2</c:v>
                </c:pt>
                <c:pt idx="19" formatCode="0.0%">
                  <c:v>2.4533063832734275E-2</c:v>
                </c:pt>
                <c:pt idx="20" formatCode="0.0%">
                  <c:v>2.6925201925797084E-2</c:v>
                </c:pt>
                <c:pt idx="21" formatCode="0.0%">
                  <c:v>2.9406389285101423E-2</c:v>
                </c:pt>
                <c:pt idx="22" formatCode="0.0%">
                  <c:v>3.1977328238299491E-2</c:v>
                </c:pt>
                <c:pt idx="23" formatCode="0.0%">
                  <c:v>3.4638721113043454E-2</c:v>
                </c:pt>
                <c:pt idx="24" formatCode="0.0%">
                  <c:v>3.5423308645565192E-2</c:v>
                </c:pt>
                <c:pt idx="25" formatCode="0.0%">
                  <c:v>3.6212110143999977E-2</c:v>
                </c:pt>
                <c:pt idx="26" formatCode="0.0%">
                  <c:v>3.7005125608347796E-2</c:v>
                </c:pt>
                <c:pt idx="27" formatCode="0.0%">
                  <c:v>3.7802355038608682E-2</c:v>
                </c:pt>
                <c:pt idx="28" formatCode="0.0%">
                  <c:v>3.860379843478258E-2</c:v>
                </c:pt>
                <c:pt idx="29" formatCode="0.0%">
                  <c:v>3.9409455796869539E-2</c:v>
                </c:pt>
                <c:pt idx="30" formatCode="0.0%">
                  <c:v>4.0219327124869544E-2</c:v>
                </c:pt>
                <c:pt idx="31" formatCode="0.0%">
                  <c:v>4.1033412418782576E-2</c:v>
                </c:pt>
                <c:pt idx="32" formatCode="0.0%">
                  <c:v>4.1851711678608683E-2</c:v>
                </c:pt>
                <c:pt idx="33" formatCode="0.0%">
                  <c:v>4.2674224904347795E-2</c:v>
                </c:pt>
              </c:numCache>
            </c:numRef>
          </c:val>
          <c:extLst>
            <c:ext xmlns:c16="http://schemas.microsoft.com/office/drawing/2014/chart" uri="{C3380CC4-5D6E-409C-BE32-E72D297353CC}">
              <c16:uniqueId val="{00000001-657F-4CE8-9A40-028951C45F1C}"/>
            </c:ext>
          </c:extLst>
        </c:ser>
        <c:ser>
          <c:idx val="4"/>
          <c:order val="2"/>
          <c:tx>
            <c:strRef>
              <c:f>'Timing calculations'!$IA$6</c:f>
              <c:strCache>
                <c:ptCount val="1"/>
                <c:pt idx="0">
                  <c:v>ICE fuel efficiency@10%BEV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calculations'!$IA$7:$IA$40</c:f>
              <c:numCache>
                <c:formatCode>0.00%</c:formatCode>
                <c:ptCount val="34"/>
                <c:pt idx="0">
                  <c:v>0</c:v>
                </c:pt>
                <c:pt idx="1">
                  <c:v>0</c:v>
                </c:pt>
                <c:pt idx="2">
                  <c:v>0</c:v>
                </c:pt>
                <c:pt idx="3">
                  <c:v>0</c:v>
                </c:pt>
                <c:pt idx="4" formatCode="0.0%">
                  <c:v>5.0072235294117617E-3</c:v>
                </c:pt>
                <c:pt idx="5" formatCode="0.0%">
                  <c:v>1.0047717647058819E-2</c:v>
                </c:pt>
                <c:pt idx="6" formatCode="0.0%">
                  <c:v>1.4617432941176466E-2</c:v>
                </c:pt>
                <c:pt idx="7" formatCode="0.0%">
                  <c:v>1.9217091764705877E-2</c:v>
                </c:pt>
                <c:pt idx="8" formatCode="0.0%">
                  <c:v>2.3846694117647053E-2</c:v>
                </c:pt>
                <c:pt idx="9" formatCode="0.0%">
                  <c:v>2.8506239999999988E-2</c:v>
                </c:pt>
                <c:pt idx="10" formatCode="0.0%">
                  <c:v>3.3195729411764685E-2</c:v>
                </c:pt>
                <c:pt idx="11" formatCode="0.0%">
                  <c:v>3.7915162352941158E-2</c:v>
                </c:pt>
                <c:pt idx="12" formatCode="0.0%">
                  <c:v>4.2664538823529392E-2</c:v>
                </c:pt>
                <c:pt idx="13" formatCode="0.0%">
                  <c:v>4.7443858823529396E-2</c:v>
                </c:pt>
                <c:pt idx="14" formatCode="0.0%">
                  <c:v>5.2253122352941148E-2</c:v>
                </c:pt>
                <c:pt idx="15" formatCode="0.0%">
                  <c:v>5.7092329411764682E-2</c:v>
                </c:pt>
                <c:pt idx="16" formatCode="0.0%">
                  <c:v>6.1961479999999958E-2</c:v>
                </c:pt>
                <c:pt idx="17" formatCode="0.0%">
                  <c:v>6.6860574117647037E-2</c:v>
                </c:pt>
                <c:pt idx="18" formatCode="0.0%">
                  <c:v>7.1789611764705871E-2</c:v>
                </c:pt>
                <c:pt idx="19" formatCode="0.0%">
                  <c:v>7.6748592941176419E-2</c:v>
                </c:pt>
                <c:pt idx="20" formatCode="0.0%">
                  <c:v>8.1737517647058819E-2</c:v>
                </c:pt>
                <c:pt idx="21" formatCode="0.0%">
                  <c:v>8.1466362352941135E-2</c:v>
                </c:pt>
                <c:pt idx="22" formatCode="0.0%">
                  <c:v>8.1191879999999966E-2</c:v>
                </c:pt>
                <c:pt idx="23" formatCode="0.0%">
                  <c:v>8.0914070588235257E-2</c:v>
                </c:pt>
                <c:pt idx="24" formatCode="0.0%">
                  <c:v>8.1700919999999982E-2</c:v>
                </c:pt>
                <c:pt idx="25" formatCode="0.0%">
                  <c:v>8.1955439999999991E-2</c:v>
                </c:pt>
                <c:pt idx="26" formatCode="0.0%">
                  <c:v>8.2209959999999957E-2</c:v>
                </c:pt>
                <c:pt idx="27" formatCode="0.0%">
                  <c:v>8.2464480000000007E-2</c:v>
                </c:pt>
                <c:pt idx="28" formatCode="0.0%">
                  <c:v>8.2718999999999973E-2</c:v>
                </c:pt>
                <c:pt idx="29" formatCode="0.0%">
                  <c:v>8.2973519999999981E-2</c:v>
                </c:pt>
                <c:pt idx="30" formatCode="0.0%">
                  <c:v>8.3228039999999989E-2</c:v>
                </c:pt>
                <c:pt idx="31" formatCode="0.0%">
                  <c:v>8.3482559999999956E-2</c:v>
                </c:pt>
                <c:pt idx="32" formatCode="0.0%">
                  <c:v>8.3737079999999992E-2</c:v>
                </c:pt>
                <c:pt idx="33" formatCode="0.0%">
                  <c:v>8.3991599999999972E-2</c:v>
                </c:pt>
              </c:numCache>
            </c:numRef>
          </c:val>
          <c:extLst>
            <c:ext xmlns:c16="http://schemas.microsoft.com/office/drawing/2014/chart" uri="{C3380CC4-5D6E-409C-BE32-E72D297353CC}">
              <c16:uniqueId val="{00000002-657F-4CE8-9A40-028951C45F1C}"/>
            </c:ext>
          </c:extLst>
        </c:ser>
        <c:ser>
          <c:idx val="0"/>
          <c:order val="3"/>
          <c:tx>
            <c:strRef>
              <c:f>'Timing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calculations'!$FE$7:$FE$40</c:f>
              <c:numCache>
                <c:formatCode>0.00%</c:formatCode>
                <c:ptCount val="34"/>
                <c:pt idx="0">
                  <c:v>0</c:v>
                </c:pt>
                <c:pt idx="1">
                  <c:v>0</c:v>
                </c:pt>
                <c:pt idx="2">
                  <c:v>0</c:v>
                </c:pt>
                <c:pt idx="3">
                  <c:v>0</c:v>
                </c:pt>
                <c:pt idx="4" formatCode="0.0%">
                  <c:v>1.6404866180048626E-2</c:v>
                </c:pt>
                <c:pt idx="5" formatCode="0.0%">
                  <c:v>3.2918734793187389E-2</c:v>
                </c:pt>
                <c:pt idx="6" formatCode="0.0%">
                  <c:v>4.9541605839416067E-2</c:v>
                </c:pt>
                <c:pt idx="7" formatCode="0.0%">
                  <c:v>6.6273479318734771E-2</c:v>
                </c:pt>
                <c:pt idx="8" formatCode="0.0%">
                  <c:v>8.3114355231143619E-2</c:v>
                </c:pt>
                <c:pt idx="9" formatCode="0.0%">
                  <c:v>0.10006423357664236</c:v>
                </c:pt>
                <c:pt idx="10" formatCode="0.0%">
                  <c:v>0.11712311435523112</c:v>
                </c:pt>
                <c:pt idx="11" formatCode="0.0%">
                  <c:v>0.13429099756690993</c:v>
                </c:pt>
                <c:pt idx="12" formatCode="0.0%">
                  <c:v>0.15156788321167874</c:v>
                </c:pt>
                <c:pt idx="13" formatCode="0.0%">
                  <c:v>0.16895377128953773</c:v>
                </c:pt>
                <c:pt idx="14" formatCode="0.0%">
                  <c:v>0.18644866180048658</c:v>
                </c:pt>
                <c:pt idx="15" formatCode="0.0%">
                  <c:v>0.20405255474452549</c:v>
                </c:pt>
                <c:pt idx="16" formatCode="0.0%">
                  <c:v>0.22176545012165449</c:v>
                </c:pt>
                <c:pt idx="17" formatCode="0.0%">
                  <c:v>0.23958734793187345</c:v>
                </c:pt>
                <c:pt idx="18" formatCode="0.0%">
                  <c:v>0.25751824817518243</c:v>
                </c:pt>
                <c:pt idx="19" formatCode="0.0%">
                  <c:v>0.25833576642335754</c:v>
                </c:pt>
                <c:pt idx="20" formatCode="0.0%">
                  <c:v>0.25915328467153281</c:v>
                </c:pt>
                <c:pt idx="21" formatCode="0.0%">
                  <c:v>0.25997080291970803</c:v>
                </c:pt>
                <c:pt idx="22" formatCode="0.0%">
                  <c:v>0.26078832116788325</c:v>
                </c:pt>
                <c:pt idx="23" formatCode="0.0%">
                  <c:v>0.26160583941605842</c:v>
                </c:pt>
                <c:pt idx="24" formatCode="0.0%">
                  <c:v>0.26242335766423358</c:v>
                </c:pt>
                <c:pt idx="25" formatCode="0.0%">
                  <c:v>0.2632408759124088</c:v>
                </c:pt>
                <c:pt idx="26" formatCode="0.0%">
                  <c:v>0.26405839416058391</c:v>
                </c:pt>
                <c:pt idx="27" formatCode="0.0%">
                  <c:v>0.26487591240875918</c:v>
                </c:pt>
                <c:pt idx="28" formatCode="0.0%">
                  <c:v>0.26569343065693429</c:v>
                </c:pt>
                <c:pt idx="29" formatCode="0.0%">
                  <c:v>0.26651094890510951</c:v>
                </c:pt>
                <c:pt idx="30" formatCode="0.0%">
                  <c:v>0.26732846715328468</c:v>
                </c:pt>
                <c:pt idx="31" formatCode="0.0%">
                  <c:v>0.26814598540145979</c:v>
                </c:pt>
                <c:pt idx="32" formatCode="0.0%">
                  <c:v>0.26896350364963512</c:v>
                </c:pt>
                <c:pt idx="33" formatCode="0.0%">
                  <c:v>0.26978102189781017</c:v>
                </c:pt>
              </c:numCache>
            </c:numRef>
          </c:val>
          <c:extLst>
            <c:ext xmlns:c16="http://schemas.microsoft.com/office/drawing/2014/chart" uri="{C3380CC4-5D6E-409C-BE32-E72D297353CC}">
              <c16:uniqueId val="{00000004-657F-4CE8-9A40-028951C45F1C}"/>
            </c:ext>
          </c:extLst>
        </c:ser>
        <c:ser>
          <c:idx val="12"/>
          <c:order val="4"/>
          <c:tx>
            <c:strRef>
              <c:f>'Timing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calculations'!$FF$7:$FF$40</c:f>
              <c:numCache>
                <c:formatCode>0.00%</c:formatCode>
                <c:ptCount val="34"/>
                <c:pt idx="0">
                  <c:v>0</c:v>
                </c:pt>
                <c:pt idx="1">
                  <c:v>0</c:v>
                </c:pt>
                <c:pt idx="2">
                  <c:v>0</c:v>
                </c:pt>
                <c:pt idx="3">
                  <c:v>0</c:v>
                </c:pt>
                <c:pt idx="4" formatCode="0.0%">
                  <c:v>3.4909164639092124E-3</c:v>
                </c:pt>
                <c:pt idx="5" formatCode="0.0%">
                  <c:v>7.0050283860502681E-3</c:v>
                </c:pt>
                <c:pt idx="6" formatCode="0.0%">
                  <c:v>1.0542335766423392E-2</c:v>
                </c:pt>
                <c:pt idx="7" formatCode="0.0%">
                  <c:v>1.4102838605028357E-2</c:v>
                </c:pt>
                <c:pt idx="8" formatCode="0.0%">
                  <c:v>1.7686536901865391E-2</c:v>
                </c:pt>
                <c:pt idx="9" formatCode="0.0%">
                  <c:v>2.1293430656934259E-2</c:v>
                </c:pt>
                <c:pt idx="10" formatCode="0.0%">
                  <c:v>2.4923519870235198E-2</c:v>
                </c:pt>
                <c:pt idx="11" formatCode="0.0%">
                  <c:v>2.8576804541768096E-2</c:v>
                </c:pt>
                <c:pt idx="12" formatCode="0.0%">
                  <c:v>3.2253284671532836E-2</c:v>
                </c:pt>
                <c:pt idx="13" formatCode="0.0%">
                  <c:v>3.595296025952964E-2</c:v>
                </c:pt>
                <c:pt idx="14" formatCode="0.0%">
                  <c:v>3.9675831305758281E-2</c:v>
                </c:pt>
                <c:pt idx="15" formatCode="0.0%">
                  <c:v>4.3421897810218997E-2</c:v>
                </c:pt>
                <c:pt idx="16" formatCode="0.0%">
                  <c:v>4.7191159772911551E-2</c:v>
                </c:pt>
                <c:pt idx="17" formatCode="0.0%">
                  <c:v>5.0983617193836178E-2</c:v>
                </c:pt>
                <c:pt idx="18" formatCode="0.0%">
                  <c:v>5.4799270072992644E-2</c:v>
                </c:pt>
                <c:pt idx="19" formatCode="0.0%">
                  <c:v>5.8638118410381156E-2</c:v>
                </c:pt>
                <c:pt idx="20" formatCode="0.0%">
                  <c:v>6.2500162206001672E-2</c:v>
                </c:pt>
                <c:pt idx="21" formatCode="0.0%">
                  <c:v>6.6385401459853971E-2</c:v>
                </c:pt>
                <c:pt idx="22" formatCode="0.0%">
                  <c:v>7.0293836171938379E-2</c:v>
                </c:pt>
                <c:pt idx="23" formatCode="0.0%">
                  <c:v>7.4225466342254742E-2</c:v>
                </c:pt>
                <c:pt idx="24" formatCode="0.0%">
                  <c:v>7.8180291970802937E-2</c:v>
                </c:pt>
                <c:pt idx="25" formatCode="0.0%">
                  <c:v>8.2158313057583199E-2</c:v>
                </c:pt>
                <c:pt idx="26" formatCode="0.0%">
                  <c:v>8.6159529602595264E-2</c:v>
                </c:pt>
                <c:pt idx="27" formatCode="0.0%">
                  <c:v>9.0183941605839479E-2</c:v>
                </c:pt>
                <c:pt idx="28" formatCode="0.0%">
                  <c:v>9.4231549067315581E-2</c:v>
                </c:pt>
                <c:pt idx="29" formatCode="0.0%">
                  <c:v>9.8302351987023542E-2</c:v>
                </c:pt>
                <c:pt idx="30" formatCode="0.0%">
                  <c:v>0.10239635036496358</c:v>
                </c:pt>
                <c:pt idx="31" formatCode="0.0%">
                  <c:v>0.10651354420113543</c:v>
                </c:pt>
                <c:pt idx="32" formatCode="0.0%">
                  <c:v>0.11065393349553942</c:v>
                </c:pt>
                <c:pt idx="33" formatCode="0.0%">
                  <c:v>0.11481751824817528</c:v>
                </c:pt>
              </c:numCache>
            </c:numRef>
          </c:val>
          <c:extLst>
            <c:ext xmlns:c16="http://schemas.microsoft.com/office/drawing/2014/chart" uri="{C3380CC4-5D6E-409C-BE32-E72D297353CC}">
              <c16:uniqueId val="{00000006-657F-4CE8-9A40-028951C45F1C}"/>
            </c:ext>
          </c:extLst>
        </c:ser>
        <c:ser>
          <c:idx val="7"/>
          <c:order val="5"/>
          <c:tx>
            <c:strRef>
              <c:f>'Timing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calculations'!$FG$7:$FG$40</c:f>
              <c:numCache>
                <c:formatCode>0.00%</c:formatCode>
                <c:ptCount val="34"/>
                <c:pt idx="0">
                  <c:v>0</c:v>
                </c:pt>
                <c:pt idx="1">
                  <c:v>0</c:v>
                </c:pt>
                <c:pt idx="2">
                  <c:v>0</c:v>
                </c:pt>
                <c:pt idx="3">
                  <c:v>0</c:v>
                </c:pt>
                <c:pt idx="4" formatCode="0.0%">
                  <c:v>1.684428223844281E-3</c:v>
                </c:pt>
                <c:pt idx="5" formatCode="0.0%">
                  <c:v>3.3800486618004843E-3</c:v>
                </c:pt>
                <c:pt idx="6" formatCode="0.0%">
                  <c:v>5.0868613138686106E-3</c:v>
                </c:pt>
                <c:pt idx="7" formatCode="0.0%">
                  <c:v>6.8048661800486588E-3</c:v>
                </c:pt>
                <c:pt idx="8" formatCode="0.0%">
                  <c:v>8.534063260340629E-3</c:v>
                </c:pt>
                <c:pt idx="9" formatCode="0.0%">
                  <c:v>1.0274452554744519E-2</c:v>
                </c:pt>
                <c:pt idx="10" formatCode="0.0%">
                  <c:v>1.2026034063260332E-2</c:v>
                </c:pt>
                <c:pt idx="11" formatCode="0.0%">
                  <c:v>1.378880778588807E-2</c:v>
                </c:pt>
                <c:pt idx="12" formatCode="0.0%">
                  <c:v>1.5562773722627729E-2</c:v>
                </c:pt>
                <c:pt idx="13" formatCode="0.0%">
                  <c:v>1.734793187347931E-2</c:v>
                </c:pt>
                <c:pt idx="14" formatCode="0.0%">
                  <c:v>1.9144282238442809E-2</c:v>
                </c:pt>
                <c:pt idx="15" formatCode="0.0%">
                  <c:v>2.0951824817518238E-2</c:v>
                </c:pt>
                <c:pt idx="16" formatCode="0.0%">
                  <c:v>2.2770559610705583E-2</c:v>
                </c:pt>
                <c:pt idx="17" formatCode="0.0%">
                  <c:v>2.460048661800485E-2</c:v>
                </c:pt>
                <c:pt idx="18" formatCode="0.0%">
                  <c:v>2.6441605839416044E-2</c:v>
                </c:pt>
                <c:pt idx="19" formatCode="0.0%">
                  <c:v>2.829391727493915E-2</c:v>
                </c:pt>
                <c:pt idx="20" formatCode="0.0%">
                  <c:v>3.0157420924574199E-2</c:v>
                </c:pt>
                <c:pt idx="21" formatCode="0.0%">
                  <c:v>3.2032116788321144E-2</c:v>
                </c:pt>
                <c:pt idx="22" formatCode="0.0%">
                  <c:v>3.3918004866180025E-2</c:v>
                </c:pt>
                <c:pt idx="23" formatCode="0.0%">
                  <c:v>3.5815085158150829E-2</c:v>
                </c:pt>
                <c:pt idx="24" formatCode="0.0%">
                  <c:v>3.7723357664233556E-2</c:v>
                </c:pt>
                <c:pt idx="25" formatCode="0.0%">
                  <c:v>3.9642822384428206E-2</c:v>
                </c:pt>
                <c:pt idx="26" formatCode="0.0%">
                  <c:v>4.1573479318734764E-2</c:v>
                </c:pt>
                <c:pt idx="27" formatCode="0.0%">
                  <c:v>4.3515328467153273E-2</c:v>
                </c:pt>
                <c:pt idx="28" formatCode="0.0%">
                  <c:v>4.5468369829683671E-2</c:v>
                </c:pt>
                <c:pt idx="29" formatCode="0.0%">
                  <c:v>4.7432603406326004E-2</c:v>
                </c:pt>
                <c:pt idx="30" formatCode="0.0%">
                  <c:v>4.9408029197080268E-2</c:v>
                </c:pt>
                <c:pt idx="31" formatCode="0.0%">
                  <c:v>5.1394647201946426E-2</c:v>
                </c:pt>
                <c:pt idx="32" formatCode="0.0%">
                  <c:v>5.3392457420924556E-2</c:v>
                </c:pt>
                <c:pt idx="33" formatCode="0.0%">
                  <c:v>5.5401459854014561E-2</c:v>
                </c:pt>
              </c:numCache>
            </c:numRef>
          </c:val>
          <c:extLst>
            <c:ext xmlns:c16="http://schemas.microsoft.com/office/drawing/2014/chart" uri="{C3380CC4-5D6E-409C-BE32-E72D297353CC}">
              <c16:uniqueId val="{00000008-657F-4CE8-9A40-028951C45F1C}"/>
            </c:ext>
          </c:extLst>
        </c:ser>
        <c:ser>
          <c:idx val="5"/>
          <c:order val="6"/>
          <c:tx>
            <c:strRef>
              <c:f>'Timing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calculations'!$FH$7:$FH$40</c:f>
              <c:numCache>
                <c:formatCode>0.00%</c:formatCode>
                <c:ptCount val="34"/>
                <c:pt idx="0">
                  <c:v>0</c:v>
                </c:pt>
                <c:pt idx="1">
                  <c:v>0</c:v>
                </c:pt>
                <c:pt idx="2">
                  <c:v>0</c:v>
                </c:pt>
                <c:pt idx="3">
                  <c:v>0</c:v>
                </c:pt>
                <c:pt idx="4" formatCode="0.0%">
                  <c:v>4.5149999999999479E-3</c:v>
                </c:pt>
                <c:pt idx="5" formatCode="0.0%">
                  <c:v>9.0600000000000073E-3</c:v>
                </c:pt>
                <c:pt idx="6" formatCode="0.0%">
                  <c:v>1.3634999999999956E-2</c:v>
                </c:pt>
                <c:pt idx="7" formatCode="0.0%">
                  <c:v>1.8240000000000017E-2</c:v>
                </c:pt>
                <c:pt idx="8" formatCode="0.0%">
                  <c:v>2.2874999999999968E-2</c:v>
                </c:pt>
                <c:pt idx="9" formatCode="0.0%">
                  <c:v>2.7540000000000026E-2</c:v>
                </c:pt>
                <c:pt idx="10" formatCode="0.0%">
                  <c:v>3.2234999999999965E-2</c:v>
                </c:pt>
                <c:pt idx="11" formatCode="0.0%">
                  <c:v>3.6960000000000028E-2</c:v>
                </c:pt>
                <c:pt idx="12" formatCode="0.0%">
                  <c:v>4.1714999999999981E-2</c:v>
                </c:pt>
                <c:pt idx="13" formatCode="0.0%">
                  <c:v>4.6500000000000048E-2</c:v>
                </c:pt>
                <c:pt idx="14" formatCode="0.0%">
                  <c:v>5.1314999999999986E-2</c:v>
                </c:pt>
                <c:pt idx="15" formatCode="0.0%">
                  <c:v>5.616000000000005E-2</c:v>
                </c:pt>
                <c:pt idx="16" formatCode="0.0%">
                  <c:v>6.1034999999999992E-2</c:v>
                </c:pt>
                <c:pt idx="17" formatCode="0.0%">
                  <c:v>6.5940000000000054E-2</c:v>
                </c:pt>
                <c:pt idx="18" formatCode="0.0%">
                  <c:v>7.0875000000000007E-2</c:v>
                </c:pt>
                <c:pt idx="19" formatCode="0.0%">
                  <c:v>7.1099999999999983E-2</c:v>
                </c:pt>
                <c:pt idx="20" formatCode="0.0%">
                  <c:v>7.1325000000000013E-2</c:v>
                </c:pt>
                <c:pt idx="21" formatCode="0.0%">
                  <c:v>7.1549999999999989E-2</c:v>
                </c:pt>
                <c:pt idx="22" formatCode="0.0%">
                  <c:v>7.1775000000000005E-2</c:v>
                </c:pt>
                <c:pt idx="23" formatCode="0.0%">
                  <c:v>7.2000000000000008E-2</c:v>
                </c:pt>
                <c:pt idx="24" formatCode="0.0%">
                  <c:v>7.2225000000000011E-2</c:v>
                </c:pt>
                <c:pt idx="25" formatCode="0.0%">
                  <c:v>7.2450000000000014E-2</c:v>
                </c:pt>
                <c:pt idx="26" formatCode="0.0%">
                  <c:v>7.267499999999999E-2</c:v>
                </c:pt>
                <c:pt idx="27" formatCode="0.0%">
                  <c:v>7.290000000000002E-2</c:v>
                </c:pt>
                <c:pt idx="28" formatCode="0.0%">
                  <c:v>7.3124999999999996E-2</c:v>
                </c:pt>
                <c:pt idx="29" formatCode="0.0%">
                  <c:v>7.3349999999999999E-2</c:v>
                </c:pt>
                <c:pt idx="30" formatCode="0.0%">
                  <c:v>7.3575000000000015E-2</c:v>
                </c:pt>
                <c:pt idx="31" formatCode="0.0%">
                  <c:v>7.3799999999999991E-2</c:v>
                </c:pt>
                <c:pt idx="32" formatCode="0.0%">
                  <c:v>7.4025000000000021E-2</c:v>
                </c:pt>
                <c:pt idx="33" formatCode="0.0%">
                  <c:v>7.4249999999999997E-2</c:v>
                </c:pt>
              </c:numCache>
            </c:numRef>
          </c:val>
          <c:extLst>
            <c:ext xmlns:c16="http://schemas.microsoft.com/office/drawing/2014/chart" uri="{C3380CC4-5D6E-409C-BE32-E72D297353CC}">
              <c16:uniqueId val="{0000000A-657F-4CE8-9A40-028951C45F1C}"/>
            </c:ext>
          </c:extLst>
        </c:ser>
        <c:ser>
          <c:idx val="9"/>
          <c:order val="7"/>
          <c:tx>
            <c:strRef>
              <c:f>'Timing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8.798076923077345E-4</c:v>
                </c:pt>
                <c:pt idx="9" formatCode="0.0%">
                  <c:v>1.7653846153845864E-3</c:v>
                </c:pt>
                <c:pt idx="10" formatCode="0.0%">
                  <c:v>2.6567307692307823E-3</c:v>
                </c:pt>
                <c:pt idx="11" formatCode="0.0%">
                  <c:v>3.5538461538462095E-3</c:v>
                </c:pt>
                <c:pt idx="12" formatCode="0.0%">
                  <c:v>4.4567307692307536E-3</c:v>
                </c:pt>
                <c:pt idx="13" formatCode="0.0%">
                  <c:v>5.3653846153846425E-3</c:v>
                </c:pt>
                <c:pt idx="14" formatCode="0.0%">
                  <c:v>6.2798076923076471E-3</c:v>
                </c:pt>
                <c:pt idx="15" formatCode="0.0%">
                  <c:v>7.1999999999999981E-3</c:v>
                </c:pt>
                <c:pt idx="16" formatCode="0.0%">
                  <c:v>8.1259615384615784E-3</c:v>
                </c:pt>
                <c:pt idx="17" formatCode="0.0%">
                  <c:v>9.0576923076922753E-3</c:v>
                </c:pt>
                <c:pt idx="18" formatCode="0.0%">
                  <c:v>9.9951923076923195E-3</c:v>
                </c:pt>
                <c:pt idx="19" formatCode="0.0%">
                  <c:v>1.093846153846159E-2</c:v>
                </c:pt>
                <c:pt idx="20" formatCode="0.0%">
                  <c:v>1.1887499999999983E-2</c:v>
                </c:pt>
                <c:pt idx="21" formatCode="0.0%">
                  <c:v>1.2842307692307715E-2</c:v>
                </c:pt>
                <c:pt idx="22" formatCode="0.0%">
                  <c:v>1.3802884615384566E-2</c:v>
                </c:pt>
                <c:pt idx="23" formatCode="0.0%">
                  <c:v>1.4769230769230764E-2</c:v>
                </c:pt>
                <c:pt idx="24" formatCode="0.0%">
                  <c:v>1.5741346153846193E-2</c:v>
                </c:pt>
                <c:pt idx="25" formatCode="0.0%">
                  <c:v>1.6719230769230736E-2</c:v>
                </c:pt>
                <c:pt idx="26" formatCode="0.0%">
                  <c:v>1.770288461538462E-2</c:v>
                </c:pt>
                <c:pt idx="27" formatCode="0.0%">
                  <c:v>1.8692307692307751E-2</c:v>
                </c:pt>
                <c:pt idx="28" formatCode="0.0%">
                  <c:v>1.9687499999999976E-2</c:v>
                </c:pt>
                <c:pt idx="29" formatCode="0.0%">
                  <c:v>2.0688461538461562E-2</c:v>
                </c:pt>
                <c:pt idx="30" formatCode="0.0%">
                  <c:v>2.1695192307692256E-2</c:v>
                </c:pt>
                <c:pt idx="31" formatCode="0.0%">
                  <c:v>2.2707692307692293E-2</c:v>
                </c:pt>
                <c:pt idx="32" formatCode="0.0%">
                  <c:v>2.3725961538461581E-2</c:v>
                </c:pt>
                <c:pt idx="33" formatCode="0.0%">
                  <c:v>2.474999999999996E-2</c:v>
                </c:pt>
              </c:numCache>
            </c:numRef>
          </c:val>
          <c:extLst>
            <c:ext xmlns:c16="http://schemas.microsoft.com/office/drawing/2014/chart" uri="{C3380CC4-5D6E-409C-BE32-E72D297353CC}">
              <c16:uniqueId val="{0000000C-657F-4CE8-9A40-028951C45F1C}"/>
            </c:ext>
          </c:extLst>
        </c:ser>
        <c:ser>
          <c:idx val="6"/>
          <c:order val="8"/>
          <c:tx>
            <c:strRef>
              <c:f>'Timing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calculations'!$FJ$7:$FJ$40</c:f>
              <c:numCache>
                <c:formatCode>0.00%</c:formatCode>
                <c:ptCount val="34"/>
                <c:pt idx="0">
                  <c:v>0</c:v>
                </c:pt>
                <c:pt idx="1">
                  <c:v>0</c:v>
                </c:pt>
                <c:pt idx="2">
                  <c:v>0</c:v>
                </c:pt>
                <c:pt idx="3">
                  <c:v>0</c:v>
                </c:pt>
                <c:pt idx="4" formatCode="0.0%">
                  <c:v>0</c:v>
                </c:pt>
                <c:pt idx="5" formatCode="0.0%">
                  <c:v>0</c:v>
                </c:pt>
                <c:pt idx="6" formatCode="0.0%">
                  <c:v>2.524999999999722E-4</c:v>
                </c:pt>
                <c:pt idx="7" formatCode="0.0%">
                  <c:v>5.0666666666661093E-4</c:v>
                </c:pt>
                <c:pt idx="8" formatCode="0.0%">
                  <c:v>7.62500000000029E-4</c:v>
                </c:pt>
                <c:pt idx="9" formatCode="0.0%">
                  <c:v>1.0200000000000009E-3</c:v>
                </c:pt>
                <c:pt idx="10" formatCode="0.0%">
                  <c:v>1.2791666666666392E-3</c:v>
                </c:pt>
                <c:pt idx="11" formatCode="0.0%">
                  <c:v>1.5399999999999444E-3</c:v>
                </c:pt>
                <c:pt idx="12" formatCode="0.0%">
                  <c:v>1.8025000000000302E-3</c:v>
                </c:pt>
                <c:pt idx="13" formatCode="0.0%">
                  <c:v>2.0666666666666689E-3</c:v>
                </c:pt>
                <c:pt idx="14" formatCode="0.0%">
                  <c:v>2.332499999999973E-3</c:v>
                </c:pt>
                <c:pt idx="15" formatCode="0.0%">
                  <c:v>2.5999999999999448E-3</c:v>
                </c:pt>
                <c:pt idx="16" formatCode="0.0%">
                  <c:v>2.8691666666666978E-3</c:v>
                </c:pt>
                <c:pt idx="17" formatCode="0.0%">
                  <c:v>3.1400000000000026E-3</c:v>
                </c:pt>
                <c:pt idx="18" formatCode="0.0%">
                  <c:v>3.4124999999999741E-3</c:v>
                </c:pt>
                <c:pt idx="19" formatCode="0.0%">
                  <c:v>3.6866666666666103E-3</c:v>
                </c:pt>
                <c:pt idx="20" formatCode="0.0%">
                  <c:v>3.9625000000000337E-3</c:v>
                </c:pt>
                <c:pt idx="21" formatCode="0.0%">
                  <c:v>4.2400000000000033E-3</c:v>
                </c:pt>
                <c:pt idx="22" formatCode="0.0%">
                  <c:v>4.519166666666641E-3</c:v>
                </c:pt>
                <c:pt idx="23" formatCode="0.0%">
                  <c:v>4.7999999999999449E-3</c:v>
                </c:pt>
                <c:pt idx="24" formatCode="0.0%">
                  <c:v>5.0825000000000349E-3</c:v>
                </c:pt>
                <c:pt idx="25" formatCode="0.0%">
                  <c:v>5.3666666666666724E-3</c:v>
                </c:pt>
                <c:pt idx="26" formatCode="0.0%">
                  <c:v>5.6524999999999735E-3</c:v>
                </c:pt>
                <c:pt idx="27" formatCode="0.0%">
                  <c:v>5.9399999999999471E-3</c:v>
                </c:pt>
                <c:pt idx="28" formatCode="0.0%">
                  <c:v>6.2291666666667023E-3</c:v>
                </c:pt>
                <c:pt idx="29" formatCode="0.0%">
                  <c:v>6.5200000000000058E-3</c:v>
                </c:pt>
                <c:pt idx="30" formatCode="0.0%">
                  <c:v>6.8124999999999766E-3</c:v>
                </c:pt>
                <c:pt idx="31" formatCode="0.0%">
                  <c:v>7.1066666666666101E-3</c:v>
                </c:pt>
                <c:pt idx="32" formatCode="0.0%">
                  <c:v>7.4025000000000384E-3</c:v>
                </c:pt>
                <c:pt idx="33" formatCode="0.0%">
                  <c:v>7.7000000000000063E-3</c:v>
                </c:pt>
              </c:numCache>
            </c:numRef>
          </c:val>
          <c:extLst>
            <c:ext xmlns:c16="http://schemas.microsoft.com/office/drawing/2014/chart" uri="{C3380CC4-5D6E-409C-BE32-E72D297353CC}">
              <c16:uniqueId val="{0000000D-657F-4CE8-9A40-028951C45F1C}"/>
            </c:ext>
          </c:extLst>
        </c:ser>
        <c:ser>
          <c:idx val="3"/>
          <c:order val="9"/>
          <c:tx>
            <c:strRef>
              <c:f>'Timing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calculations'!$FK$7:$FK$40</c:f>
              <c:numCache>
                <c:formatCode>0.00%</c:formatCode>
                <c:ptCount val="34"/>
                <c:pt idx="0">
                  <c:v>0</c:v>
                </c:pt>
                <c:pt idx="1">
                  <c:v>0</c:v>
                </c:pt>
                <c:pt idx="2">
                  <c:v>0</c:v>
                </c:pt>
                <c:pt idx="3">
                  <c:v>0</c:v>
                </c:pt>
                <c:pt idx="4" formatCode="0.0%">
                  <c:v>9.6319999999996064E-4</c:v>
                </c:pt>
                <c:pt idx="5" formatCode="0.0%">
                  <c:v>1.9328000000000329E-3</c:v>
                </c:pt>
                <c:pt idx="6" formatCode="0.0%">
                  <c:v>2.9087999999999935E-3</c:v>
                </c:pt>
                <c:pt idx="7" formatCode="0.0%">
                  <c:v>3.8911999999999541E-3</c:v>
                </c:pt>
                <c:pt idx="8" formatCode="0.0%">
                  <c:v>4.8800000000000275E-3</c:v>
                </c:pt>
                <c:pt idx="9" formatCode="0.0%">
                  <c:v>5.8751999999999876E-3</c:v>
                </c:pt>
                <c:pt idx="10" formatCode="0.0%">
                  <c:v>6.876799999999946E-3</c:v>
                </c:pt>
                <c:pt idx="11" formatCode="0.0%">
                  <c:v>7.8848000000000199E-3</c:v>
                </c:pt>
                <c:pt idx="12" formatCode="0.0%">
                  <c:v>8.8991999999999804E-3</c:v>
                </c:pt>
                <c:pt idx="13" formatCode="0.0%">
                  <c:v>9.9200000000000555E-3</c:v>
                </c:pt>
                <c:pt idx="14" formatCode="0.0%">
                  <c:v>1.0947200000000015E-2</c:v>
                </c:pt>
                <c:pt idx="15" formatCode="0.0%">
                  <c:v>1.1980799999999974E-2</c:v>
                </c:pt>
                <c:pt idx="16" formatCode="0.0%">
                  <c:v>1.3020800000000048E-2</c:v>
                </c:pt>
                <c:pt idx="17" formatCode="0.0%">
                  <c:v>1.4067200000000007E-2</c:v>
                </c:pt>
                <c:pt idx="18" formatCode="0.0%">
                  <c:v>1.5119999999999967E-2</c:v>
                </c:pt>
                <c:pt idx="19" formatCode="0.0%">
                  <c:v>1.6179200000000036E-2</c:v>
                </c:pt>
                <c:pt idx="20" formatCode="0.0%">
                  <c:v>1.7244800000000005E-2</c:v>
                </c:pt>
                <c:pt idx="21" formatCode="0.0%">
                  <c:v>1.8316799999999956E-2</c:v>
                </c:pt>
                <c:pt idx="22" formatCode="0.0%">
                  <c:v>1.9395200000000036E-2</c:v>
                </c:pt>
                <c:pt idx="23" formatCode="0.0%">
                  <c:v>2.0479999999999995E-2</c:v>
                </c:pt>
                <c:pt idx="24" formatCode="0.0%">
                  <c:v>2.1571199999999954E-2</c:v>
                </c:pt>
                <c:pt idx="25" formatCode="0.0%">
                  <c:v>2.2668800000000034E-2</c:v>
                </c:pt>
                <c:pt idx="26" formatCode="0.0%">
                  <c:v>2.3772799999999983E-2</c:v>
                </c:pt>
                <c:pt idx="27" formatCode="0.0%">
                  <c:v>2.4883199999999953E-2</c:v>
                </c:pt>
                <c:pt idx="28" formatCode="0.0%">
                  <c:v>2.600000000000002E-2</c:v>
                </c:pt>
                <c:pt idx="29" formatCode="0.0%">
                  <c:v>2.7123199999999979E-2</c:v>
                </c:pt>
                <c:pt idx="30" formatCode="0.0%">
                  <c:v>2.8252799999999939E-2</c:v>
                </c:pt>
                <c:pt idx="31" formatCode="0.0%">
                  <c:v>2.938880000000001E-2</c:v>
                </c:pt>
                <c:pt idx="32" formatCode="0.0%">
                  <c:v>3.0531199999999981E-2</c:v>
                </c:pt>
                <c:pt idx="33" formatCode="0.0%">
                  <c:v>3.1679999999999923E-2</c:v>
                </c:pt>
              </c:numCache>
            </c:numRef>
          </c:val>
          <c:extLst>
            <c:ext xmlns:c16="http://schemas.microsoft.com/office/drawing/2014/chart" uri="{C3380CC4-5D6E-409C-BE32-E72D297353CC}">
              <c16:uniqueId val="{0000000F-657F-4CE8-9A40-028951C45F1C}"/>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657F-4CE8-9A40-028951C45F1C}"/>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657F-4CE8-9A40-028951C45F1C}"/>
              </c:ext>
            </c:extLst>
          </c:dPt>
          <c:dLbls>
            <c:dLbl>
              <c:idx val="3"/>
              <c:layout>
                <c:manualLayout>
                  <c:x val="-4.6433777465333524E-2"/>
                  <c:y val="0.31736386266493061"/>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330648587709661"/>
                      <c:h val="2.6500084605509337E-2"/>
                    </c:manualLayout>
                  </c15:layout>
                </c:ext>
                <c:ext xmlns:c16="http://schemas.microsoft.com/office/drawing/2014/chart" uri="{C3380CC4-5D6E-409C-BE32-E72D297353CC}">
                  <c16:uniqueId val="{00000011-657F-4CE8-9A40-028951C45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12-657F-4CE8-9A40-028951C45F1C}"/>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3-657F-4CE8-9A40-028951C45F1C}"/>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calculations'!$IM$6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calculations'!$IM$7:$IM$40</c:f>
              <c:numCache>
                <c:formatCode>0%</c:formatCode>
                <c:ptCount val="34"/>
                <c:pt idx="0">
                  <c:v>1</c:v>
                </c:pt>
                <c:pt idx="1">
                  <c:v>0.98333333333333328</c:v>
                </c:pt>
                <c:pt idx="2">
                  <c:v>0.96666666666666656</c:v>
                </c:pt>
                <c:pt idx="3" formatCode="0.00%">
                  <c:v>0.95</c:v>
                </c:pt>
                <c:pt idx="4" formatCode="0.00%">
                  <c:v>0.92126769893611948</c:v>
                </c:pt>
                <c:pt idx="5" formatCode="0.00%">
                  <c:v>0.89232233717856968</c:v>
                </c:pt>
                <c:pt idx="6" formatCode="0.00%">
                  <c:v>0.86291141472735078</c:v>
                </c:pt>
                <c:pt idx="7" formatCode="0.00%">
                  <c:v>0.83328576491579609</c:v>
                </c:pt>
                <c:pt idx="8" formatCode="0.00%">
                  <c:v>0.8025655800515975</c:v>
                </c:pt>
                <c:pt idx="9" formatCode="0.00%">
                  <c:v>0.77162489859629424</c:v>
                </c:pt>
                <c:pt idx="10" formatCode="0.00%">
                  <c:v>0.74046372054988574</c:v>
                </c:pt>
                <c:pt idx="11" formatCode="0.00%">
                  <c:v>0.70908204591237201</c:v>
                </c:pt>
                <c:pt idx="12" formatCode="0.00%">
                  <c:v>0.67747987468375337</c:v>
                </c:pt>
                <c:pt idx="13" formatCode="0.00%">
                  <c:v>0.64565720686402928</c:v>
                </c:pt>
                <c:pt idx="14" formatCode="0.00%">
                  <c:v>0.61361404245320073</c:v>
                </c:pt>
                <c:pt idx="15" formatCode="0.00%">
                  <c:v>0.58135038145126683</c:v>
                </c:pt>
                <c:pt idx="16" formatCode="0.00%">
                  <c:v>0.54886622385822748</c:v>
                </c:pt>
                <c:pt idx="17" formatCode="0.00%">
                  <c:v>0.51616156967408333</c:v>
                </c:pt>
                <c:pt idx="18" formatCode="0.00%">
                  <c:v>0.48323641889883429</c:v>
                </c:pt>
                <c:pt idx="19" formatCode="0.00%">
                  <c:v>0.47205315596070374</c:v>
                </c:pt>
                <c:pt idx="20" formatCode="0.00%">
                  <c:v>0.46078839886455802</c:v>
                </c:pt>
                <c:pt idx="21" formatCode="0.00%">
                  <c:v>0.45473217113980924</c:v>
                </c:pt>
                <c:pt idx="22" formatCode="0.00%">
                  <c:v>0.44862771984528027</c:v>
                </c:pt>
                <c:pt idx="23" formatCode="0.00%">
                  <c:v>0.44247504498097201</c:v>
                </c:pt>
                <c:pt idx="24" formatCode="0.00%">
                  <c:v>0.4362741465468839</c:v>
                </c:pt>
                <c:pt idx="25" formatCode="0.00%">
                  <c:v>0.43002502454301561</c:v>
                </c:pt>
                <c:pt idx="26" formatCode="0.00%">
                  <c:v>0.42372767896936825</c:v>
                </c:pt>
                <c:pt idx="27" formatCode="0.00%">
                  <c:v>0.41738210982594026</c:v>
                </c:pt>
                <c:pt idx="28" formatCode="0.00%">
                  <c:v>0.41098831711273298</c:v>
                </c:pt>
                <c:pt idx="29" formatCode="0.00%">
                  <c:v>0.40454630082974596</c:v>
                </c:pt>
                <c:pt idx="30" formatCode="0.00%">
                  <c:v>0.39805606097697921</c:v>
                </c:pt>
                <c:pt idx="31" formatCode="0.00%">
                  <c:v>0.39151759755443272</c:v>
                </c:pt>
                <c:pt idx="32" formatCode="0.00%">
                  <c:v>0.38493091056210582</c:v>
                </c:pt>
                <c:pt idx="33" formatCode="0.00%">
                  <c:v>0.37829600000000019</c:v>
                </c:pt>
              </c:numCache>
            </c:numRef>
          </c:val>
          <c:extLst>
            <c:ext xmlns:c16="http://schemas.microsoft.com/office/drawing/2014/chart" uri="{C3380CC4-5D6E-409C-BE32-E72D297353CC}">
              <c16:uniqueId val="{00000000-68E9-4793-B55C-144F6290F335}"/>
            </c:ext>
          </c:extLst>
        </c:ser>
        <c:ser>
          <c:idx val="11"/>
          <c:order val="1"/>
          <c:tx>
            <c:strRef>
              <c:f>'Timing calculations'!$IO$6</c:f>
              <c:strCache>
                <c:ptCount val="1"/>
                <c:pt idx="0">
                  <c:v>.</c:v>
                </c:pt>
              </c:strCache>
            </c:strRef>
          </c:tx>
          <c:spPr>
            <a:solidFill>
              <a:schemeClr val="accent6">
                <a:lumMod val="6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calculations'!$IO$7:$IO$40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0</c:v>
                </c:pt>
                <c:pt idx="14" formatCode="0.0%">
                  <c:v>0</c:v>
                </c:pt>
                <c:pt idx="15" formatCode="0.0%">
                  <c:v>0</c:v>
                </c:pt>
                <c:pt idx="16" formatCode="0.0%">
                  <c:v>0</c:v>
                </c:pt>
                <c:pt idx="17" formatCode="0.0%">
                  <c:v>0</c:v>
                </c:pt>
                <c:pt idx="18" formatCode="0.0%">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c:v>
                </c:pt>
                <c:pt idx="33" formatCode="0.0%">
                  <c:v>0</c:v>
                </c:pt>
              </c:numCache>
            </c:numRef>
          </c:val>
          <c:extLst>
            <c:ext xmlns:c16="http://schemas.microsoft.com/office/drawing/2014/chart" uri="{C3380CC4-5D6E-409C-BE32-E72D297353CC}">
              <c16:uniqueId val="{00000001-68E9-4793-B55C-144F6290F335}"/>
            </c:ext>
          </c:extLst>
        </c:ser>
        <c:ser>
          <c:idx val="4"/>
          <c:order val="2"/>
          <c:tx>
            <c:strRef>
              <c:f>'Timing calculations'!$IP$6</c:f>
              <c:strCache>
                <c:ptCount val="1"/>
                <c:pt idx="0">
                  <c:v>ICE fuel efficiency@0%BEV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calculations'!$IP$7:$IP$40</c:f>
              <c:numCache>
                <c:formatCode>0.00%</c:formatCode>
                <c:ptCount val="34"/>
                <c:pt idx="0">
                  <c:v>0</c:v>
                </c:pt>
                <c:pt idx="1">
                  <c:v>0</c:v>
                </c:pt>
                <c:pt idx="2">
                  <c:v>0</c:v>
                </c:pt>
                <c:pt idx="3">
                  <c:v>0</c:v>
                </c:pt>
                <c:pt idx="4" formatCode="0.0%">
                  <c:v>5.0072235294117617E-3</c:v>
                </c:pt>
                <c:pt idx="5" formatCode="0.0%">
                  <c:v>1.0047717647058819E-2</c:v>
                </c:pt>
                <c:pt idx="6" formatCode="0.0%">
                  <c:v>1.5121482352941171E-2</c:v>
                </c:pt>
                <c:pt idx="7" formatCode="0.0%">
                  <c:v>2.0228517647058818E-2</c:v>
                </c:pt>
                <c:pt idx="8" formatCode="0.0%">
                  <c:v>2.5368823529411756E-2</c:v>
                </c:pt>
                <c:pt idx="9" formatCode="0.0%">
                  <c:v>3.0542399999999987E-2</c:v>
                </c:pt>
                <c:pt idx="10" formatCode="0.0%">
                  <c:v>3.5749247058823513E-2</c:v>
                </c:pt>
                <c:pt idx="11" formatCode="0.0%">
                  <c:v>4.0989364705882332E-2</c:v>
                </c:pt>
                <c:pt idx="12" formatCode="0.0%">
                  <c:v>4.6262752941176453E-2</c:v>
                </c:pt>
                <c:pt idx="13" formatCode="0.0%">
                  <c:v>5.1569411764705864E-2</c:v>
                </c:pt>
                <c:pt idx="14" formatCode="0.0%">
                  <c:v>5.6909341176470563E-2</c:v>
                </c:pt>
                <c:pt idx="15" formatCode="0.0%">
                  <c:v>6.2282541176470564E-2</c:v>
                </c:pt>
                <c:pt idx="16" formatCode="0.0%">
                  <c:v>6.7689011764705848E-2</c:v>
                </c:pt>
                <c:pt idx="17" formatCode="0.0%">
                  <c:v>7.3128752941176434E-2</c:v>
                </c:pt>
                <c:pt idx="18" formatCode="0.0%">
                  <c:v>7.8601764705882329E-2</c:v>
                </c:pt>
                <c:pt idx="19" formatCode="0.0%">
                  <c:v>8.4108047058823479E-2</c:v>
                </c:pt>
                <c:pt idx="20" formatCode="0.0%">
                  <c:v>8.9647599999999994E-2</c:v>
                </c:pt>
                <c:pt idx="21" formatCode="0.0%">
                  <c:v>8.9930399999999952E-2</c:v>
                </c:pt>
                <c:pt idx="22" formatCode="0.0%">
                  <c:v>9.0213199999999966E-2</c:v>
                </c:pt>
                <c:pt idx="23" formatCode="0.0%">
                  <c:v>9.0495999999999965E-2</c:v>
                </c:pt>
                <c:pt idx="24" formatCode="0.0%">
                  <c:v>9.0778799999999979E-2</c:v>
                </c:pt>
                <c:pt idx="25" formatCode="0.0%">
                  <c:v>9.1061599999999979E-2</c:v>
                </c:pt>
                <c:pt idx="26" formatCode="0.0%">
                  <c:v>9.1344399999999951E-2</c:v>
                </c:pt>
                <c:pt idx="27" formatCode="0.0%">
                  <c:v>9.1627199999999992E-2</c:v>
                </c:pt>
                <c:pt idx="28" formatCode="0.0%">
                  <c:v>9.1909999999999964E-2</c:v>
                </c:pt>
                <c:pt idx="29" formatCode="0.0%">
                  <c:v>9.2192799999999964E-2</c:v>
                </c:pt>
                <c:pt idx="30" formatCode="0.0%">
                  <c:v>9.2475599999999977E-2</c:v>
                </c:pt>
                <c:pt idx="31" formatCode="0.0%">
                  <c:v>9.2758399999999949E-2</c:v>
                </c:pt>
                <c:pt idx="32" formatCode="0.0%">
                  <c:v>9.3041199999999991E-2</c:v>
                </c:pt>
                <c:pt idx="33" formatCode="0.0%">
                  <c:v>9.3323999999999963E-2</c:v>
                </c:pt>
              </c:numCache>
            </c:numRef>
          </c:val>
          <c:extLst>
            <c:ext xmlns:c16="http://schemas.microsoft.com/office/drawing/2014/chart" uri="{C3380CC4-5D6E-409C-BE32-E72D297353CC}">
              <c16:uniqueId val="{00000002-68E9-4793-B55C-144F6290F335}"/>
            </c:ext>
          </c:extLst>
        </c:ser>
        <c:ser>
          <c:idx val="0"/>
          <c:order val="3"/>
          <c:tx>
            <c:strRef>
              <c:f>'Timing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calculations'!$FE$7:$FE$40</c:f>
              <c:numCache>
                <c:formatCode>0.00%</c:formatCode>
                <c:ptCount val="34"/>
                <c:pt idx="0">
                  <c:v>0</c:v>
                </c:pt>
                <c:pt idx="1">
                  <c:v>0</c:v>
                </c:pt>
                <c:pt idx="2">
                  <c:v>0</c:v>
                </c:pt>
                <c:pt idx="3">
                  <c:v>0</c:v>
                </c:pt>
                <c:pt idx="4" formatCode="0.0%">
                  <c:v>1.6404866180048626E-2</c:v>
                </c:pt>
                <c:pt idx="5" formatCode="0.0%">
                  <c:v>3.2918734793187389E-2</c:v>
                </c:pt>
                <c:pt idx="6" formatCode="0.0%">
                  <c:v>4.9541605839416067E-2</c:v>
                </c:pt>
                <c:pt idx="7" formatCode="0.0%">
                  <c:v>6.6273479318734771E-2</c:v>
                </c:pt>
                <c:pt idx="8" formatCode="0.0%">
                  <c:v>8.3114355231143619E-2</c:v>
                </c:pt>
                <c:pt idx="9" formatCode="0.0%">
                  <c:v>0.10006423357664236</c:v>
                </c:pt>
                <c:pt idx="10" formatCode="0.0%">
                  <c:v>0.11712311435523112</c:v>
                </c:pt>
                <c:pt idx="11" formatCode="0.0%">
                  <c:v>0.13429099756690993</c:v>
                </c:pt>
                <c:pt idx="12" formatCode="0.0%">
                  <c:v>0.15156788321167874</c:v>
                </c:pt>
                <c:pt idx="13" formatCode="0.0%">
                  <c:v>0.16895377128953773</c:v>
                </c:pt>
                <c:pt idx="14" formatCode="0.0%">
                  <c:v>0.18644866180048658</c:v>
                </c:pt>
                <c:pt idx="15" formatCode="0.0%">
                  <c:v>0.20405255474452549</c:v>
                </c:pt>
                <c:pt idx="16" formatCode="0.0%">
                  <c:v>0.22176545012165449</c:v>
                </c:pt>
                <c:pt idx="17" formatCode="0.0%">
                  <c:v>0.23958734793187345</c:v>
                </c:pt>
                <c:pt idx="18" formatCode="0.0%">
                  <c:v>0.25751824817518243</c:v>
                </c:pt>
                <c:pt idx="19" formatCode="0.0%">
                  <c:v>0.25833576642335754</c:v>
                </c:pt>
                <c:pt idx="20" formatCode="0.0%">
                  <c:v>0.25915328467153281</c:v>
                </c:pt>
                <c:pt idx="21" formatCode="0.0%">
                  <c:v>0.25997080291970803</c:v>
                </c:pt>
                <c:pt idx="22" formatCode="0.0%">
                  <c:v>0.26078832116788325</c:v>
                </c:pt>
                <c:pt idx="23" formatCode="0.0%">
                  <c:v>0.26160583941605842</c:v>
                </c:pt>
                <c:pt idx="24" formatCode="0.0%">
                  <c:v>0.26242335766423358</c:v>
                </c:pt>
                <c:pt idx="25" formatCode="0.0%">
                  <c:v>0.2632408759124088</c:v>
                </c:pt>
                <c:pt idx="26" formatCode="0.0%">
                  <c:v>0.26405839416058391</c:v>
                </c:pt>
                <c:pt idx="27" formatCode="0.0%">
                  <c:v>0.26487591240875918</c:v>
                </c:pt>
                <c:pt idx="28" formatCode="0.0%">
                  <c:v>0.26569343065693429</c:v>
                </c:pt>
                <c:pt idx="29" formatCode="0.0%">
                  <c:v>0.26651094890510951</c:v>
                </c:pt>
                <c:pt idx="30" formatCode="0.0%">
                  <c:v>0.26732846715328468</c:v>
                </c:pt>
                <c:pt idx="31" formatCode="0.0%">
                  <c:v>0.26814598540145979</c:v>
                </c:pt>
                <c:pt idx="32" formatCode="0.0%">
                  <c:v>0.26896350364963512</c:v>
                </c:pt>
                <c:pt idx="33" formatCode="0.0%">
                  <c:v>0.26978102189781017</c:v>
                </c:pt>
              </c:numCache>
            </c:numRef>
          </c:val>
          <c:extLst>
            <c:ext xmlns:c16="http://schemas.microsoft.com/office/drawing/2014/chart" uri="{C3380CC4-5D6E-409C-BE32-E72D297353CC}">
              <c16:uniqueId val="{00000004-68E9-4793-B55C-144F6290F335}"/>
            </c:ext>
          </c:extLst>
        </c:ser>
        <c:ser>
          <c:idx val="12"/>
          <c:order val="4"/>
          <c:tx>
            <c:strRef>
              <c:f>'Timing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calculations'!$FF$7:$FF$40</c:f>
              <c:numCache>
                <c:formatCode>0.00%</c:formatCode>
                <c:ptCount val="34"/>
                <c:pt idx="0">
                  <c:v>0</c:v>
                </c:pt>
                <c:pt idx="1">
                  <c:v>0</c:v>
                </c:pt>
                <c:pt idx="2">
                  <c:v>0</c:v>
                </c:pt>
                <c:pt idx="3">
                  <c:v>0</c:v>
                </c:pt>
                <c:pt idx="4" formatCode="0.0%">
                  <c:v>3.4909164639092124E-3</c:v>
                </c:pt>
                <c:pt idx="5" formatCode="0.0%">
                  <c:v>7.0050283860502681E-3</c:v>
                </c:pt>
                <c:pt idx="6" formatCode="0.0%">
                  <c:v>1.0542335766423392E-2</c:v>
                </c:pt>
                <c:pt idx="7" formatCode="0.0%">
                  <c:v>1.4102838605028357E-2</c:v>
                </c:pt>
                <c:pt idx="8" formatCode="0.0%">
                  <c:v>1.7686536901865391E-2</c:v>
                </c:pt>
                <c:pt idx="9" formatCode="0.0%">
                  <c:v>2.1293430656934259E-2</c:v>
                </c:pt>
                <c:pt idx="10" formatCode="0.0%">
                  <c:v>2.4923519870235198E-2</c:v>
                </c:pt>
                <c:pt idx="11" formatCode="0.0%">
                  <c:v>2.8576804541768096E-2</c:v>
                </c:pt>
                <c:pt idx="12" formatCode="0.0%">
                  <c:v>3.2253284671532836E-2</c:v>
                </c:pt>
                <c:pt idx="13" formatCode="0.0%">
                  <c:v>3.595296025952964E-2</c:v>
                </c:pt>
                <c:pt idx="14" formatCode="0.0%">
                  <c:v>3.9675831305758281E-2</c:v>
                </c:pt>
                <c:pt idx="15" formatCode="0.0%">
                  <c:v>4.3421897810218997E-2</c:v>
                </c:pt>
                <c:pt idx="16" formatCode="0.0%">
                  <c:v>4.7191159772911551E-2</c:v>
                </c:pt>
                <c:pt idx="17" formatCode="0.0%">
                  <c:v>5.0983617193836178E-2</c:v>
                </c:pt>
                <c:pt idx="18" formatCode="0.0%">
                  <c:v>5.4799270072992644E-2</c:v>
                </c:pt>
                <c:pt idx="19" formatCode="0.0%">
                  <c:v>5.8638118410381156E-2</c:v>
                </c:pt>
                <c:pt idx="20" formatCode="0.0%">
                  <c:v>6.2500162206001672E-2</c:v>
                </c:pt>
                <c:pt idx="21" formatCode="0.0%">
                  <c:v>6.6385401459853971E-2</c:v>
                </c:pt>
                <c:pt idx="22" formatCode="0.0%">
                  <c:v>7.0293836171938379E-2</c:v>
                </c:pt>
                <c:pt idx="23" formatCode="0.0%">
                  <c:v>7.4225466342254742E-2</c:v>
                </c:pt>
                <c:pt idx="24" formatCode="0.0%">
                  <c:v>7.8180291970802937E-2</c:v>
                </c:pt>
                <c:pt idx="25" formatCode="0.0%">
                  <c:v>8.2158313057583199E-2</c:v>
                </c:pt>
                <c:pt idx="26" formatCode="0.0%">
                  <c:v>8.6159529602595264E-2</c:v>
                </c:pt>
                <c:pt idx="27" formatCode="0.0%">
                  <c:v>9.0183941605839479E-2</c:v>
                </c:pt>
                <c:pt idx="28" formatCode="0.0%">
                  <c:v>9.4231549067315581E-2</c:v>
                </c:pt>
                <c:pt idx="29" formatCode="0.0%">
                  <c:v>9.8302351987023542E-2</c:v>
                </c:pt>
                <c:pt idx="30" formatCode="0.0%">
                  <c:v>0.10239635036496358</c:v>
                </c:pt>
                <c:pt idx="31" formatCode="0.0%">
                  <c:v>0.10651354420113543</c:v>
                </c:pt>
                <c:pt idx="32" formatCode="0.0%">
                  <c:v>0.11065393349553942</c:v>
                </c:pt>
                <c:pt idx="33" formatCode="0.0%">
                  <c:v>0.11481751824817528</c:v>
                </c:pt>
              </c:numCache>
            </c:numRef>
          </c:val>
          <c:extLst>
            <c:ext xmlns:c16="http://schemas.microsoft.com/office/drawing/2014/chart" uri="{C3380CC4-5D6E-409C-BE32-E72D297353CC}">
              <c16:uniqueId val="{00000006-68E9-4793-B55C-144F6290F335}"/>
            </c:ext>
          </c:extLst>
        </c:ser>
        <c:ser>
          <c:idx val="7"/>
          <c:order val="5"/>
          <c:tx>
            <c:strRef>
              <c:f>'Timing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calculations'!$FG$7:$FG$40</c:f>
              <c:numCache>
                <c:formatCode>0.00%</c:formatCode>
                <c:ptCount val="34"/>
                <c:pt idx="0">
                  <c:v>0</c:v>
                </c:pt>
                <c:pt idx="1">
                  <c:v>0</c:v>
                </c:pt>
                <c:pt idx="2">
                  <c:v>0</c:v>
                </c:pt>
                <c:pt idx="3">
                  <c:v>0</c:v>
                </c:pt>
                <c:pt idx="4" formatCode="0.0%">
                  <c:v>1.684428223844281E-3</c:v>
                </c:pt>
                <c:pt idx="5" formatCode="0.0%">
                  <c:v>3.3800486618004843E-3</c:v>
                </c:pt>
                <c:pt idx="6" formatCode="0.0%">
                  <c:v>5.0868613138686106E-3</c:v>
                </c:pt>
                <c:pt idx="7" formatCode="0.0%">
                  <c:v>6.8048661800486588E-3</c:v>
                </c:pt>
                <c:pt idx="8" formatCode="0.0%">
                  <c:v>8.534063260340629E-3</c:v>
                </c:pt>
                <c:pt idx="9" formatCode="0.0%">
                  <c:v>1.0274452554744519E-2</c:v>
                </c:pt>
                <c:pt idx="10" formatCode="0.0%">
                  <c:v>1.2026034063260332E-2</c:v>
                </c:pt>
                <c:pt idx="11" formatCode="0.0%">
                  <c:v>1.378880778588807E-2</c:v>
                </c:pt>
                <c:pt idx="12" formatCode="0.0%">
                  <c:v>1.5562773722627729E-2</c:v>
                </c:pt>
                <c:pt idx="13" formatCode="0.0%">
                  <c:v>1.734793187347931E-2</c:v>
                </c:pt>
                <c:pt idx="14" formatCode="0.0%">
                  <c:v>1.9144282238442809E-2</c:v>
                </c:pt>
                <c:pt idx="15" formatCode="0.0%">
                  <c:v>2.0951824817518238E-2</c:v>
                </c:pt>
                <c:pt idx="16" formatCode="0.0%">
                  <c:v>2.2770559610705583E-2</c:v>
                </c:pt>
                <c:pt idx="17" formatCode="0.0%">
                  <c:v>2.460048661800485E-2</c:v>
                </c:pt>
                <c:pt idx="18" formatCode="0.0%">
                  <c:v>2.6441605839416044E-2</c:v>
                </c:pt>
                <c:pt idx="19" formatCode="0.0%">
                  <c:v>2.829391727493915E-2</c:v>
                </c:pt>
                <c:pt idx="20" formatCode="0.0%">
                  <c:v>3.0157420924574199E-2</c:v>
                </c:pt>
                <c:pt idx="21" formatCode="0.0%">
                  <c:v>3.2032116788321144E-2</c:v>
                </c:pt>
                <c:pt idx="22" formatCode="0.0%">
                  <c:v>3.3918004866180025E-2</c:v>
                </c:pt>
                <c:pt idx="23" formatCode="0.0%">
                  <c:v>3.5815085158150829E-2</c:v>
                </c:pt>
                <c:pt idx="24" formatCode="0.0%">
                  <c:v>3.7723357664233556E-2</c:v>
                </c:pt>
                <c:pt idx="25" formatCode="0.0%">
                  <c:v>3.9642822384428206E-2</c:v>
                </c:pt>
                <c:pt idx="26" formatCode="0.0%">
                  <c:v>4.1573479318734764E-2</c:v>
                </c:pt>
                <c:pt idx="27" formatCode="0.0%">
                  <c:v>4.3515328467153273E-2</c:v>
                </c:pt>
                <c:pt idx="28" formatCode="0.0%">
                  <c:v>4.5468369829683671E-2</c:v>
                </c:pt>
                <c:pt idx="29" formatCode="0.0%">
                  <c:v>4.7432603406326004E-2</c:v>
                </c:pt>
                <c:pt idx="30" formatCode="0.0%">
                  <c:v>4.9408029197080268E-2</c:v>
                </c:pt>
                <c:pt idx="31" formatCode="0.0%">
                  <c:v>5.1394647201946426E-2</c:v>
                </c:pt>
                <c:pt idx="32" formatCode="0.0%">
                  <c:v>5.3392457420924556E-2</c:v>
                </c:pt>
                <c:pt idx="33" formatCode="0.0%">
                  <c:v>5.5401459854014561E-2</c:v>
                </c:pt>
              </c:numCache>
            </c:numRef>
          </c:val>
          <c:extLst>
            <c:ext xmlns:c16="http://schemas.microsoft.com/office/drawing/2014/chart" uri="{C3380CC4-5D6E-409C-BE32-E72D297353CC}">
              <c16:uniqueId val="{00000008-68E9-4793-B55C-144F6290F335}"/>
            </c:ext>
          </c:extLst>
        </c:ser>
        <c:ser>
          <c:idx val="5"/>
          <c:order val="6"/>
          <c:tx>
            <c:strRef>
              <c:f>'Timing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calculations'!$FH$7:$FH$40</c:f>
              <c:numCache>
                <c:formatCode>0.00%</c:formatCode>
                <c:ptCount val="34"/>
                <c:pt idx="0">
                  <c:v>0</c:v>
                </c:pt>
                <c:pt idx="1">
                  <c:v>0</c:v>
                </c:pt>
                <c:pt idx="2">
                  <c:v>0</c:v>
                </c:pt>
                <c:pt idx="3">
                  <c:v>0</c:v>
                </c:pt>
                <c:pt idx="4" formatCode="0.0%">
                  <c:v>4.5149999999999479E-3</c:v>
                </c:pt>
                <c:pt idx="5" formatCode="0.0%">
                  <c:v>9.0600000000000073E-3</c:v>
                </c:pt>
                <c:pt idx="6" formatCode="0.0%">
                  <c:v>1.3634999999999956E-2</c:v>
                </c:pt>
                <c:pt idx="7" formatCode="0.0%">
                  <c:v>1.8240000000000017E-2</c:v>
                </c:pt>
                <c:pt idx="8" formatCode="0.0%">
                  <c:v>2.2874999999999968E-2</c:v>
                </c:pt>
                <c:pt idx="9" formatCode="0.0%">
                  <c:v>2.7540000000000026E-2</c:v>
                </c:pt>
                <c:pt idx="10" formatCode="0.0%">
                  <c:v>3.2234999999999965E-2</c:v>
                </c:pt>
                <c:pt idx="11" formatCode="0.0%">
                  <c:v>3.6960000000000028E-2</c:v>
                </c:pt>
                <c:pt idx="12" formatCode="0.0%">
                  <c:v>4.1714999999999981E-2</c:v>
                </c:pt>
                <c:pt idx="13" formatCode="0.0%">
                  <c:v>4.6500000000000048E-2</c:v>
                </c:pt>
                <c:pt idx="14" formatCode="0.0%">
                  <c:v>5.1314999999999986E-2</c:v>
                </c:pt>
                <c:pt idx="15" formatCode="0.0%">
                  <c:v>5.616000000000005E-2</c:v>
                </c:pt>
                <c:pt idx="16" formatCode="0.0%">
                  <c:v>6.1034999999999992E-2</c:v>
                </c:pt>
                <c:pt idx="17" formatCode="0.0%">
                  <c:v>6.5940000000000054E-2</c:v>
                </c:pt>
                <c:pt idx="18" formatCode="0.0%">
                  <c:v>7.0875000000000007E-2</c:v>
                </c:pt>
                <c:pt idx="19" formatCode="0.0%">
                  <c:v>7.1099999999999983E-2</c:v>
                </c:pt>
                <c:pt idx="20" formatCode="0.0%">
                  <c:v>7.1325000000000013E-2</c:v>
                </c:pt>
                <c:pt idx="21" formatCode="0.0%">
                  <c:v>7.1549999999999989E-2</c:v>
                </c:pt>
                <c:pt idx="22" formatCode="0.0%">
                  <c:v>7.1775000000000005E-2</c:v>
                </c:pt>
                <c:pt idx="23" formatCode="0.0%">
                  <c:v>7.2000000000000008E-2</c:v>
                </c:pt>
                <c:pt idx="24" formatCode="0.0%">
                  <c:v>7.2225000000000011E-2</c:v>
                </c:pt>
                <c:pt idx="25" formatCode="0.0%">
                  <c:v>7.2450000000000014E-2</c:v>
                </c:pt>
                <c:pt idx="26" formatCode="0.0%">
                  <c:v>7.267499999999999E-2</c:v>
                </c:pt>
                <c:pt idx="27" formatCode="0.0%">
                  <c:v>7.290000000000002E-2</c:v>
                </c:pt>
                <c:pt idx="28" formatCode="0.0%">
                  <c:v>7.3124999999999996E-2</c:v>
                </c:pt>
                <c:pt idx="29" formatCode="0.0%">
                  <c:v>7.3349999999999999E-2</c:v>
                </c:pt>
                <c:pt idx="30" formatCode="0.0%">
                  <c:v>7.3575000000000015E-2</c:v>
                </c:pt>
                <c:pt idx="31" formatCode="0.0%">
                  <c:v>7.3799999999999991E-2</c:v>
                </c:pt>
                <c:pt idx="32" formatCode="0.0%">
                  <c:v>7.4025000000000021E-2</c:v>
                </c:pt>
                <c:pt idx="33" formatCode="0.0%">
                  <c:v>7.4249999999999997E-2</c:v>
                </c:pt>
              </c:numCache>
            </c:numRef>
          </c:val>
          <c:extLst>
            <c:ext xmlns:c16="http://schemas.microsoft.com/office/drawing/2014/chart" uri="{C3380CC4-5D6E-409C-BE32-E72D297353CC}">
              <c16:uniqueId val="{0000000A-68E9-4793-B55C-144F6290F335}"/>
            </c:ext>
          </c:extLst>
        </c:ser>
        <c:ser>
          <c:idx val="9"/>
          <c:order val="7"/>
          <c:tx>
            <c:strRef>
              <c:f>'Timing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8.798076923077345E-4</c:v>
                </c:pt>
                <c:pt idx="9" formatCode="0.0%">
                  <c:v>1.7653846153845864E-3</c:v>
                </c:pt>
                <c:pt idx="10" formatCode="0.0%">
                  <c:v>2.6567307692307823E-3</c:v>
                </c:pt>
                <c:pt idx="11" formatCode="0.0%">
                  <c:v>3.5538461538462095E-3</c:v>
                </c:pt>
                <c:pt idx="12" formatCode="0.0%">
                  <c:v>4.4567307692307536E-3</c:v>
                </c:pt>
                <c:pt idx="13" formatCode="0.0%">
                  <c:v>5.3653846153846425E-3</c:v>
                </c:pt>
                <c:pt idx="14" formatCode="0.0%">
                  <c:v>6.2798076923076471E-3</c:v>
                </c:pt>
                <c:pt idx="15" formatCode="0.0%">
                  <c:v>7.1999999999999981E-3</c:v>
                </c:pt>
                <c:pt idx="16" formatCode="0.0%">
                  <c:v>8.1259615384615784E-3</c:v>
                </c:pt>
                <c:pt idx="17" formatCode="0.0%">
                  <c:v>9.0576923076922753E-3</c:v>
                </c:pt>
                <c:pt idx="18" formatCode="0.0%">
                  <c:v>9.9951923076923195E-3</c:v>
                </c:pt>
                <c:pt idx="19" formatCode="0.0%">
                  <c:v>1.093846153846159E-2</c:v>
                </c:pt>
                <c:pt idx="20" formatCode="0.0%">
                  <c:v>1.1887499999999983E-2</c:v>
                </c:pt>
                <c:pt idx="21" formatCode="0.0%">
                  <c:v>1.2842307692307715E-2</c:v>
                </c:pt>
                <c:pt idx="22" formatCode="0.0%">
                  <c:v>1.3802884615384566E-2</c:v>
                </c:pt>
                <c:pt idx="23" formatCode="0.0%">
                  <c:v>1.4769230769230764E-2</c:v>
                </c:pt>
                <c:pt idx="24" formatCode="0.0%">
                  <c:v>1.5741346153846193E-2</c:v>
                </c:pt>
                <c:pt idx="25" formatCode="0.0%">
                  <c:v>1.6719230769230736E-2</c:v>
                </c:pt>
                <c:pt idx="26" formatCode="0.0%">
                  <c:v>1.770288461538462E-2</c:v>
                </c:pt>
                <c:pt idx="27" formatCode="0.0%">
                  <c:v>1.8692307692307751E-2</c:v>
                </c:pt>
                <c:pt idx="28" formatCode="0.0%">
                  <c:v>1.9687499999999976E-2</c:v>
                </c:pt>
                <c:pt idx="29" formatCode="0.0%">
                  <c:v>2.0688461538461562E-2</c:v>
                </c:pt>
                <c:pt idx="30" formatCode="0.0%">
                  <c:v>2.1695192307692256E-2</c:v>
                </c:pt>
                <c:pt idx="31" formatCode="0.0%">
                  <c:v>2.2707692307692293E-2</c:v>
                </c:pt>
                <c:pt idx="32" formatCode="0.0%">
                  <c:v>2.3725961538461581E-2</c:v>
                </c:pt>
                <c:pt idx="33" formatCode="0.0%">
                  <c:v>2.474999999999996E-2</c:v>
                </c:pt>
              </c:numCache>
            </c:numRef>
          </c:val>
          <c:extLst>
            <c:ext xmlns:c16="http://schemas.microsoft.com/office/drawing/2014/chart" uri="{C3380CC4-5D6E-409C-BE32-E72D297353CC}">
              <c16:uniqueId val="{0000000C-68E9-4793-B55C-144F6290F335}"/>
            </c:ext>
          </c:extLst>
        </c:ser>
        <c:ser>
          <c:idx val="6"/>
          <c:order val="8"/>
          <c:tx>
            <c:strRef>
              <c:f>'Timing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calculations'!$FJ$7:$FJ$40</c:f>
              <c:numCache>
                <c:formatCode>0.00%</c:formatCode>
                <c:ptCount val="34"/>
                <c:pt idx="0">
                  <c:v>0</c:v>
                </c:pt>
                <c:pt idx="1">
                  <c:v>0</c:v>
                </c:pt>
                <c:pt idx="2">
                  <c:v>0</c:v>
                </c:pt>
                <c:pt idx="3">
                  <c:v>0</c:v>
                </c:pt>
                <c:pt idx="4" formatCode="0.0%">
                  <c:v>0</c:v>
                </c:pt>
                <c:pt idx="5" formatCode="0.0%">
                  <c:v>0</c:v>
                </c:pt>
                <c:pt idx="6" formatCode="0.0%">
                  <c:v>2.524999999999722E-4</c:v>
                </c:pt>
                <c:pt idx="7" formatCode="0.0%">
                  <c:v>5.0666666666661093E-4</c:v>
                </c:pt>
                <c:pt idx="8" formatCode="0.0%">
                  <c:v>7.62500000000029E-4</c:v>
                </c:pt>
                <c:pt idx="9" formatCode="0.0%">
                  <c:v>1.0200000000000009E-3</c:v>
                </c:pt>
                <c:pt idx="10" formatCode="0.0%">
                  <c:v>1.2791666666666392E-3</c:v>
                </c:pt>
                <c:pt idx="11" formatCode="0.0%">
                  <c:v>1.5399999999999444E-3</c:v>
                </c:pt>
                <c:pt idx="12" formatCode="0.0%">
                  <c:v>1.8025000000000302E-3</c:v>
                </c:pt>
                <c:pt idx="13" formatCode="0.0%">
                  <c:v>2.0666666666666689E-3</c:v>
                </c:pt>
                <c:pt idx="14" formatCode="0.0%">
                  <c:v>2.332499999999973E-3</c:v>
                </c:pt>
                <c:pt idx="15" formatCode="0.0%">
                  <c:v>2.5999999999999448E-3</c:v>
                </c:pt>
                <c:pt idx="16" formatCode="0.0%">
                  <c:v>2.8691666666666978E-3</c:v>
                </c:pt>
                <c:pt idx="17" formatCode="0.0%">
                  <c:v>3.1400000000000026E-3</c:v>
                </c:pt>
                <c:pt idx="18" formatCode="0.0%">
                  <c:v>3.4124999999999741E-3</c:v>
                </c:pt>
                <c:pt idx="19" formatCode="0.0%">
                  <c:v>3.6866666666666103E-3</c:v>
                </c:pt>
                <c:pt idx="20" formatCode="0.0%">
                  <c:v>3.9625000000000337E-3</c:v>
                </c:pt>
                <c:pt idx="21" formatCode="0.0%">
                  <c:v>4.2400000000000033E-3</c:v>
                </c:pt>
                <c:pt idx="22" formatCode="0.0%">
                  <c:v>4.519166666666641E-3</c:v>
                </c:pt>
                <c:pt idx="23" formatCode="0.0%">
                  <c:v>4.7999999999999449E-3</c:v>
                </c:pt>
                <c:pt idx="24" formatCode="0.0%">
                  <c:v>5.0825000000000349E-3</c:v>
                </c:pt>
                <c:pt idx="25" formatCode="0.0%">
                  <c:v>5.3666666666666724E-3</c:v>
                </c:pt>
                <c:pt idx="26" formatCode="0.0%">
                  <c:v>5.6524999999999735E-3</c:v>
                </c:pt>
                <c:pt idx="27" formatCode="0.0%">
                  <c:v>5.9399999999999471E-3</c:v>
                </c:pt>
                <c:pt idx="28" formatCode="0.0%">
                  <c:v>6.2291666666667023E-3</c:v>
                </c:pt>
                <c:pt idx="29" formatCode="0.0%">
                  <c:v>6.5200000000000058E-3</c:v>
                </c:pt>
                <c:pt idx="30" formatCode="0.0%">
                  <c:v>6.8124999999999766E-3</c:v>
                </c:pt>
                <c:pt idx="31" formatCode="0.0%">
                  <c:v>7.1066666666666101E-3</c:v>
                </c:pt>
                <c:pt idx="32" formatCode="0.0%">
                  <c:v>7.4025000000000384E-3</c:v>
                </c:pt>
                <c:pt idx="33" formatCode="0.0%">
                  <c:v>7.7000000000000063E-3</c:v>
                </c:pt>
              </c:numCache>
            </c:numRef>
          </c:val>
          <c:extLst>
            <c:ext xmlns:c16="http://schemas.microsoft.com/office/drawing/2014/chart" uri="{C3380CC4-5D6E-409C-BE32-E72D297353CC}">
              <c16:uniqueId val="{0000000D-68E9-4793-B55C-144F6290F335}"/>
            </c:ext>
          </c:extLst>
        </c:ser>
        <c:ser>
          <c:idx val="3"/>
          <c:order val="9"/>
          <c:tx>
            <c:strRef>
              <c:f>'Timing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calculations'!$FK$7:$FK$40</c:f>
              <c:numCache>
                <c:formatCode>0.00%</c:formatCode>
                <c:ptCount val="34"/>
                <c:pt idx="0">
                  <c:v>0</c:v>
                </c:pt>
                <c:pt idx="1">
                  <c:v>0</c:v>
                </c:pt>
                <c:pt idx="2">
                  <c:v>0</c:v>
                </c:pt>
                <c:pt idx="3">
                  <c:v>0</c:v>
                </c:pt>
                <c:pt idx="4" formatCode="0.0%">
                  <c:v>9.6319999999996064E-4</c:v>
                </c:pt>
                <c:pt idx="5" formatCode="0.0%">
                  <c:v>1.9328000000000329E-3</c:v>
                </c:pt>
                <c:pt idx="6" formatCode="0.0%">
                  <c:v>2.9087999999999935E-3</c:v>
                </c:pt>
                <c:pt idx="7" formatCode="0.0%">
                  <c:v>3.8911999999999541E-3</c:v>
                </c:pt>
                <c:pt idx="8" formatCode="0.0%">
                  <c:v>4.8800000000000275E-3</c:v>
                </c:pt>
                <c:pt idx="9" formatCode="0.0%">
                  <c:v>5.8751999999999876E-3</c:v>
                </c:pt>
                <c:pt idx="10" formatCode="0.0%">
                  <c:v>6.876799999999946E-3</c:v>
                </c:pt>
                <c:pt idx="11" formatCode="0.0%">
                  <c:v>7.8848000000000199E-3</c:v>
                </c:pt>
                <c:pt idx="12" formatCode="0.0%">
                  <c:v>8.8991999999999804E-3</c:v>
                </c:pt>
                <c:pt idx="13" formatCode="0.0%">
                  <c:v>9.9200000000000555E-3</c:v>
                </c:pt>
                <c:pt idx="14" formatCode="0.0%">
                  <c:v>1.0947200000000015E-2</c:v>
                </c:pt>
                <c:pt idx="15" formatCode="0.0%">
                  <c:v>1.1980799999999974E-2</c:v>
                </c:pt>
                <c:pt idx="16" formatCode="0.0%">
                  <c:v>1.3020800000000048E-2</c:v>
                </c:pt>
                <c:pt idx="17" formatCode="0.0%">
                  <c:v>1.4067200000000007E-2</c:v>
                </c:pt>
                <c:pt idx="18" formatCode="0.0%">
                  <c:v>1.5119999999999967E-2</c:v>
                </c:pt>
                <c:pt idx="19" formatCode="0.0%">
                  <c:v>1.6179200000000036E-2</c:v>
                </c:pt>
                <c:pt idx="20" formatCode="0.0%">
                  <c:v>1.7244800000000005E-2</c:v>
                </c:pt>
                <c:pt idx="21" formatCode="0.0%">
                  <c:v>1.8316799999999956E-2</c:v>
                </c:pt>
                <c:pt idx="22" formatCode="0.0%">
                  <c:v>1.9395200000000036E-2</c:v>
                </c:pt>
                <c:pt idx="23" formatCode="0.0%">
                  <c:v>2.0479999999999995E-2</c:v>
                </c:pt>
                <c:pt idx="24" formatCode="0.0%">
                  <c:v>2.1571199999999954E-2</c:v>
                </c:pt>
                <c:pt idx="25" formatCode="0.0%">
                  <c:v>2.2668800000000034E-2</c:v>
                </c:pt>
                <c:pt idx="26" formatCode="0.0%">
                  <c:v>2.3772799999999983E-2</c:v>
                </c:pt>
                <c:pt idx="27" formatCode="0.0%">
                  <c:v>2.4883199999999953E-2</c:v>
                </c:pt>
                <c:pt idx="28" formatCode="0.0%">
                  <c:v>2.600000000000002E-2</c:v>
                </c:pt>
                <c:pt idx="29" formatCode="0.0%">
                  <c:v>2.7123199999999979E-2</c:v>
                </c:pt>
                <c:pt idx="30" formatCode="0.0%">
                  <c:v>2.8252799999999939E-2</c:v>
                </c:pt>
                <c:pt idx="31" formatCode="0.0%">
                  <c:v>2.938880000000001E-2</c:v>
                </c:pt>
                <c:pt idx="32" formatCode="0.0%">
                  <c:v>3.0531199999999981E-2</c:v>
                </c:pt>
                <c:pt idx="33" formatCode="0.0%">
                  <c:v>3.1679999999999923E-2</c:v>
                </c:pt>
              </c:numCache>
            </c:numRef>
          </c:val>
          <c:extLst>
            <c:ext xmlns:c16="http://schemas.microsoft.com/office/drawing/2014/chart" uri="{C3380CC4-5D6E-409C-BE32-E72D297353CC}">
              <c16:uniqueId val="{0000000F-68E9-4793-B55C-144F6290F335}"/>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68E9-4793-B55C-144F6290F335}"/>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68E9-4793-B55C-144F6290F335}"/>
              </c:ext>
            </c:extLst>
          </c:dPt>
          <c:dLbls>
            <c:dLbl>
              <c:idx val="3"/>
              <c:layout>
                <c:manualLayout>
                  <c:x val="-3.6657825103837582E-2"/>
                  <c:y val="0.32260399546126595"/>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497936077745884"/>
                      <c:h val="3.3486916755492903E-2"/>
                    </c:manualLayout>
                  </c15:layout>
                </c:ext>
                <c:ext xmlns:c16="http://schemas.microsoft.com/office/drawing/2014/chart" uri="{C3380CC4-5D6E-409C-BE32-E72D297353CC}">
                  <c16:uniqueId val="{00000011-68E9-4793-B55C-144F6290F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12-68E9-4793-B55C-144F6290F335}"/>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3-68E9-4793-B55C-144F6290F335}"/>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80%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calculations'!$FP$6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calculations'!$FP$7:$FP$40</c:f>
              <c:numCache>
                <c:formatCode>0%</c:formatCode>
                <c:ptCount val="34"/>
                <c:pt idx="0">
                  <c:v>1</c:v>
                </c:pt>
                <c:pt idx="1">
                  <c:v>0.98333333333333328</c:v>
                </c:pt>
                <c:pt idx="2">
                  <c:v>0.96666666666666656</c:v>
                </c:pt>
                <c:pt idx="3" formatCode="0.00%">
                  <c:v>0.95</c:v>
                </c:pt>
                <c:pt idx="4" formatCode="0.00%">
                  <c:v>0.92126769893611948</c:v>
                </c:pt>
                <c:pt idx="5" formatCode="0.00%">
                  <c:v>0.89232233717856968</c:v>
                </c:pt>
                <c:pt idx="6" formatCode="0.00%">
                  <c:v>0.85702225139760491</c:v>
                </c:pt>
                <c:pt idx="7" formatCode="0.00%">
                  <c:v>0.82089921227439566</c:v>
                </c:pt>
                <c:pt idx="8" formatCode="0.00%">
                  <c:v>0.78306779349541678</c:v>
                </c:pt>
                <c:pt idx="9" formatCode="0.00%">
                  <c:v>0.74439641490098984</c:v>
                </c:pt>
                <c:pt idx="10" formatCode="0.00%">
                  <c:v>0.70487945786989703</c:v>
                </c:pt>
                <c:pt idx="11" formatCode="0.00%">
                  <c:v>0.66451130378092094</c:v>
                </c:pt>
                <c:pt idx="12" formatCode="0.00%">
                  <c:v>0.62328633401284472</c:v>
                </c:pt>
                <c:pt idx="13" formatCode="0.00%">
                  <c:v>0.58119892994444988</c:v>
                </c:pt>
                <c:pt idx="14" formatCode="0.00%">
                  <c:v>0.53824347295452046</c:v>
                </c:pt>
                <c:pt idx="15" formatCode="0.00%">
                  <c:v>0.49441434442183796</c:v>
                </c:pt>
                <c:pt idx="16" formatCode="0.00%">
                  <c:v>0.44970592572518509</c:v>
                </c:pt>
                <c:pt idx="17" formatCode="0.00%">
                  <c:v>0.404112598243345</c:v>
                </c:pt>
                <c:pt idx="18" formatCode="0.00%">
                  <c:v>0.3576287433551002</c:v>
                </c:pt>
                <c:pt idx="19" formatCode="0.00%">
                  <c:v>0.3322111268674568</c:v>
                </c:pt>
                <c:pt idx="20" formatCode="0.00%">
                  <c:v>0.30603074816406362</c:v>
                </c:pt>
                <c:pt idx="21" formatCode="0.00%">
                  <c:v>0.28437201215311514</c:v>
                </c:pt>
                <c:pt idx="22" formatCode="0.00%">
                  <c:v>0.26197254727221742</c:v>
                </c:pt>
                <c:pt idx="23" formatCode="0.00%">
                  <c:v>0.2388267349001536</c:v>
                </c:pt>
                <c:pt idx="24" formatCode="0.00%">
                  <c:v>0.22551071738236217</c:v>
                </c:pt>
                <c:pt idx="25" formatCode="0.00%">
                  <c:v>0.21317742339101553</c:v>
                </c:pt>
                <c:pt idx="26" formatCode="0.00%">
                  <c:v>0.20076219410258545</c:v>
                </c:pt>
                <c:pt idx="27" formatCode="0.00%">
                  <c:v>0.18826502951707069</c:v>
                </c:pt>
                <c:pt idx="28" formatCode="0.00%">
                  <c:v>0.17568592963447205</c:v>
                </c:pt>
                <c:pt idx="29" formatCode="0.00%">
                  <c:v>0.16302489445478929</c:v>
                </c:pt>
                <c:pt idx="30" formatCode="0.00%">
                  <c:v>0.15028192397802254</c:v>
                </c:pt>
                <c:pt idx="31" formatCode="0.00%">
                  <c:v>0.13745701820417189</c:v>
                </c:pt>
                <c:pt idx="32" formatCode="0.00%">
                  <c:v>0.12455017713323613</c:v>
                </c:pt>
                <c:pt idx="33" formatCode="0.00%">
                  <c:v>0.11156140076521748</c:v>
                </c:pt>
              </c:numCache>
            </c:numRef>
          </c:val>
          <c:extLst>
            <c:ext xmlns:c16="http://schemas.microsoft.com/office/drawing/2014/chart" uri="{C3380CC4-5D6E-409C-BE32-E72D297353CC}">
              <c16:uniqueId val="{00000000-41E7-4788-8E33-3C1258288FD6}"/>
            </c:ext>
          </c:extLst>
        </c:ser>
        <c:ser>
          <c:idx val="11"/>
          <c:order val="1"/>
          <c:tx>
            <c:strRef>
              <c:f>'Timing calculations'!$FR$6</c:f>
              <c:strCache>
                <c:ptCount val="1"/>
                <c:pt idx="0">
                  <c:v>80%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calculations'!$FR$7:$FR$40</c:f>
              <c:numCache>
                <c:formatCode>0.00%</c:formatCode>
                <c:ptCount val="34"/>
                <c:pt idx="0">
                  <c:v>0</c:v>
                </c:pt>
                <c:pt idx="1">
                  <c:v>0</c:v>
                </c:pt>
                <c:pt idx="2">
                  <c:v>0</c:v>
                </c:pt>
                <c:pt idx="3">
                  <c:v>0</c:v>
                </c:pt>
                <c:pt idx="4" formatCode="0.0%">
                  <c:v>0</c:v>
                </c:pt>
                <c:pt idx="5" formatCode="0.0%">
                  <c:v>0</c:v>
                </c:pt>
                <c:pt idx="6" formatCode="0.0%">
                  <c:v>9.7535421532753633E-3</c:v>
                </c:pt>
                <c:pt idx="7" formatCode="0.0%">
                  <c:v>2.0140817739439619E-2</c:v>
                </c:pt>
                <c:pt idx="8" formatCode="0.0%">
                  <c:v>3.1167445379710151E-2</c:v>
                </c:pt>
                <c:pt idx="9" formatCode="0.0%">
                  <c:v>4.2839043695304349E-2</c:v>
                </c:pt>
                <c:pt idx="10" formatCode="0.0%">
                  <c:v>5.5161231307439607E-2</c:v>
                </c:pt>
                <c:pt idx="11" formatCode="0.0%">
                  <c:v>6.813962683733335E-2</c:v>
                </c:pt>
                <c:pt idx="12" formatCode="0.0%">
                  <c:v>8.177984890620292E-2</c:v>
                </c:pt>
                <c:pt idx="13" formatCode="0.0%">
                  <c:v>9.6087516135265713E-2</c:v>
                </c:pt>
                <c:pt idx="14" formatCode="0.0%">
                  <c:v>0.11106824714573914</c:v>
                </c:pt>
                <c:pt idx="15" formatCode="0.0%">
                  <c:v>0.1267276605588406</c:v>
                </c:pt>
                <c:pt idx="16" formatCode="0.0%">
                  <c:v>0.14307137499578748</c:v>
                </c:pt>
                <c:pt idx="17" formatCode="0.0%">
                  <c:v>0.16010500907779712</c:v>
                </c:pt>
                <c:pt idx="18" formatCode="0.0%">
                  <c:v>0.17783418142608698</c:v>
                </c:pt>
                <c:pt idx="19" formatCode="0.0%">
                  <c:v>0.19626451066187436</c:v>
                </c:pt>
                <c:pt idx="20" formatCode="0.0%">
                  <c:v>0.21540161540637687</c:v>
                </c:pt>
                <c:pt idx="21" formatCode="0.0%">
                  <c:v>0.23525111428081161</c:v>
                </c:pt>
                <c:pt idx="22" formatCode="0.0%">
                  <c:v>0.25581862590639615</c:v>
                </c:pt>
                <c:pt idx="23" formatCode="0.0%">
                  <c:v>0.27710976890434785</c:v>
                </c:pt>
                <c:pt idx="24" formatCode="0.0%">
                  <c:v>0.28338646916452181</c:v>
                </c:pt>
                <c:pt idx="25" formatCode="0.0%">
                  <c:v>0.2896968811520001</c:v>
                </c:pt>
                <c:pt idx="26" formatCode="0.0%">
                  <c:v>0.29604100486678259</c:v>
                </c:pt>
                <c:pt idx="27" formatCode="0.0%">
                  <c:v>0.30241884030886967</c:v>
                </c:pt>
                <c:pt idx="28" formatCode="0.0%">
                  <c:v>0.30883038747826091</c:v>
                </c:pt>
                <c:pt idx="29" formatCode="0.0%">
                  <c:v>0.31527564637495659</c:v>
                </c:pt>
                <c:pt idx="30" formatCode="0.0%">
                  <c:v>0.32175461699895658</c:v>
                </c:pt>
                <c:pt idx="31" formatCode="0.0%">
                  <c:v>0.32826729935026083</c:v>
                </c:pt>
                <c:pt idx="32" formatCode="0.0%">
                  <c:v>0.33481369342886969</c:v>
                </c:pt>
                <c:pt idx="33" formatCode="0.0%">
                  <c:v>0.34139379923478264</c:v>
                </c:pt>
              </c:numCache>
            </c:numRef>
          </c:val>
          <c:extLst>
            <c:ext xmlns:c16="http://schemas.microsoft.com/office/drawing/2014/chart" uri="{C3380CC4-5D6E-409C-BE32-E72D297353CC}">
              <c16:uniqueId val="{00000001-41E7-4788-8E33-3C1258288FD6}"/>
            </c:ext>
          </c:extLst>
        </c:ser>
        <c:ser>
          <c:idx val="4"/>
          <c:order val="2"/>
          <c:tx>
            <c:strRef>
              <c:f>'Timing calculations'!$FS$6</c:f>
              <c:strCache>
                <c:ptCount val="1"/>
                <c:pt idx="0">
                  <c:v>ICE fuel efficiency@80%BEV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calculations'!$FS$7:$FS$40</c:f>
              <c:numCache>
                <c:formatCode>0.00%</c:formatCode>
                <c:ptCount val="34"/>
                <c:pt idx="0">
                  <c:v>0</c:v>
                </c:pt>
                <c:pt idx="1">
                  <c:v>0</c:v>
                </c:pt>
                <c:pt idx="2">
                  <c:v>0</c:v>
                </c:pt>
                <c:pt idx="3">
                  <c:v>0</c:v>
                </c:pt>
                <c:pt idx="4" formatCode="0.0%">
                  <c:v>5.0072235294117617E-3</c:v>
                </c:pt>
                <c:pt idx="5" formatCode="0.0%">
                  <c:v>1.0047717647058819E-2</c:v>
                </c:pt>
                <c:pt idx="6" formatCode="0.0%">
                  <c:v>1.1257103529411762E-2</c:v>
                </c:pt>
                <c:pt idx="7" formatCode="0.0%">
                  <c:v>1.2474252549019604E-2</c:v>
                </c:pt>
                <c:pt idx="8" formatCode="0.0%">
                  <c:v>1.3699164705882349E-2</c:v>
                </c:pt>
                <c:pt idx="9" formatCode="0.0%">
                  <c:v>1.4931839999999993E-2</c:v>
                </c:pt>
                <c:pt idx="10" formatCode="0.0%">
                  <c:v>1.6172278431372537E-2</c:v>
                </c:pt>
                <c:pt idx="11" formatCode="0.0%">
                  <c:v>1.7420479999999992E-2</c:v>
                </c:pt>
                <c:pt idx="12" formatCode="0.0%">
                  <c:v>1.8676444705882343E-2</c:v>
                </c:pt>
                <c:pt idx="13" formatCode="0.0%">
                  <c:v>1.99401725490196E-2</c:v>
                </c:pt>
                <c:pt idx="14" formatCode="0.0%">
                  <c:v>2.1211663529411742E-2</c:v>
                </c:pt>
                <c:pt idx="15" formatCode="0.0%">
                  <c:v>2.2490917647058815E-2</c:v>
                </c:pt>
                <c:pt idx="16" formatCode="0.0%">
                  <c:v>2.3777934901960767E-2</c:v>
                </c:pt>
                <c:pt idx="17" formatCode="0.0%">
                  <c:v>2.5072715294117639E-2</c:v>
                </c:pt>
                <c:pt idx="18" formatCode="0.0%">
                  <c:v>2.6375258823529407E-2</c:v>
                </c:pt>
                <c:pt idx="19" formatCode="0.0%">
                  <c:v>2.7685565490196067E-2</c:v>
                </c:pt>
                <c:pt idx="20" formatCode="0.0%">
                  <c:v>2.9003635294117661E-2</c:v>
                </c:pt>
                <c:pt idx="21" formatCode="0.0%">
                  <c:v>2.5039444705882347E-2</c:v>
                </c:pt>
                <c:pt idx="22" formatCode="0.0%">
                  <c:v>2.1049746666666667E-2</c:v>
                </c:pt>
                <c:pt idx="23" formatCode="0.0%">
                  <c:v>1.7034541176470564E-2</c:v>
                </c:pt>
                <c:pt idx="24" formatCode="0.0%">
                  <c:v>1.815576E-2</c:v>
                </c:pt>
                <c:pt idx="25" formatCode="0.0%">
                  <c:v>1.8212320000000004E-2</c:v>
                </c:pt>
                <c:pt idx="26" formatCode="0.0%">
                  <c:v>1.8268879999999998E-2</c:v>
                </c:pt>
                <c:pt idx="27" formatCode="0.0%">
                  <c:v>1.8325440000000005E-2</c:v>
                </c:pt>
                <c:pt idx="28" formatCode="0.0%">
                  <c:v>1.8381999999999999E-2</c:v>
                </c:pt>
                <c:pt idx="29" formatCode="0.0%">
                  <c:v>1.843856E-2</c:v>
                </c:pt>
                <c:pt idx="30" formatCode="0.0%">
                  <c:v>1.849512E-2</c:v>
                </c:pt>
                <c:pt idx="31" formatCode="0.0%">
                  <c:v>1.8551679999999994E-2</c:v>
                </c:pt>
                <c:pt idx="32" formatCode="0.0%">
                  <c:v>1.8608240000000005E-2</c:v>
                </c:pt>
                <c:pt idx="33" formatCode="0.0%">
                  <c:v>1.8664799999999999E-2</c:v>
                </c:pt>
              </c:numCache>
            </c:numRef>
          </c:val>
          <c:extLst>
            <c:ext xmlns:c16="http://schemas.microsoft.com/office/drawing/2014/chart" uri="{C3380CC4-5D6E-409C-BE32-E72D297353CC}">
              <c16:uniqueId val="{00000002-41E7-4788-8E33-3C1258288FD6}"/>
            </c:ext>
          </c:extLst>
        </c:ser>
        <c:ser>
          <c:idx val="0"/>
          <c:order val="3"/>
          <c:tx>
            <c:strRef>
              <c:f>'Timing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calculations'!$FE$7:$FE$40</c:f>
              <c:numCache>
                <c:formatCode>0.00%</c:formatCode>
                <c:ptCount val="34"/>
                <c:pt idx="0">
                  <c:v>0</c:v>
                </c:pt>
                <c:pt idx="1">
                  <c:v>0</c:v>
                </c:pt>
                <c:pt idx="2">
                  <c:v>0</c:v>
                </c:pt>
                <c:pt idx="3">
                  <c:v>0</c:v>
                </c:pt>
                <c:pt idx="4" formatCode="0.0%">
                  <c:v>1.6404866180048626E-2</c:v>
                </c:pt>
                <c:pt idx="5" formatCode="0.0%">
                  <c:v>3.2918734793187389E-2</c:v>
                </c:pt>
                <c:pt idx="6" formatCode="0.0%">
                  <c:v>4.9541605839416067E-2</c:v>
                </c:pt>
                <c:pt idx="7" formatCode="0.0%">
                  <c:v>6.6273479318734771E-2</c:v>
                </c:pt>
                <c:pt idx="8" formatCode="0.0%">
                  <c:v>8.3114355231143619E-2</c:v>
                </c:pt>
                <c:pt idx="9" formatCode="0.0%">
                  <c:v>0.10006423357664236</c:v>
                </c:pt>
                <c:pt idx="10" formatCode="0.0%">
                  <c:v>0.11712311435523112</c:v>
                </c:pt>
                <c:pt idx="11" formatCode="0.0%">
                  <c:v>0.13429099756690993</c:v>
                </c:pt>
                <c:pt idx="12" formatCode="0.0%">
                  <c:v>0.15156788321167874</c:v>
                </c:pt>
                <c:pt idx="13" formatCode="0.0%">
                  <c:v>0.16895377128953773</c:v>
                </c:pt>
                <c:pt idx="14" formatCode="0.0%">
                  <c:v>0.18644866180048658</c:v>
                </c:pt>
                <c:pt idx="15" formatCode="0.0%">
                  <c:v>0.20405255474452549</c:v>
                </c:pt>
                <c:pt idx="16" formatCode="0.0%">
                  <c:v>0.22176545012165449</c:v>
                </c:pt>
                <c:pt idx="17" formatCode="0.0%">
                  <c:v>0.23958734793187345</c:v>
                </c:pt>
                <c:pt idx="18" formatCode="0.0%">
                  <c:v>0.25751824817518243</c:v>
                </c:pt>
                <c:pt idx="19" formatCode="0.0%">
                  <c:v>0.25833576642335754</c:v>
                </c:pt>
                <c:pt idx="20" formatCode="0.0%">
                  <c:v>0.25915328467153281</c:v>
                </c:pt>
                <c:pt idx="21" formatCode="0.0%">
                  <c:v>0.25997080291970803</c:v>
                </c:pt>
                <c:pt idx="22" formatCode="0.0%">
                  <c:v>0.26078832116788325</c:v>
                </c:pt>
                <c:pt idx="23" formatCode="0.0%">
                  <c:v>0.26160583941605842</c:v>
                </c:pt>
                <c:pt idx="24" formatCode="0.0%">
                  <c:v>0.26242335766423358</c:v>
                </c:pt>
                <c:pt idx="25" formatCode="0.0%">
                  <c:v>0.2632408759124088</c:v>
                </c:pt>
                <c:pt idx="26" formatCode="0.0%">
                  <c:v>0.26405839416058391</c:v>
                </c:pt>
                <c:pt idx="27" formatCode="0.0%">
                  <c:v>0.26487591240875918</c:v>
                </c:pt>
                <c:pt idx="28" formatCode="0.0%">
                  <c:v>0.26569343065693429</c:v>
                </c:pt>
                <c:pt idx="29" formatCode="0.0%">
                  <c:v>0.26651094890510951</c:v>
                </c:pt>
                <c:pt idx="30" formatCode="0.0%">
                  <c:v>0.26732846715328468</c:v>
                </c:pt>
                <c:pt idx="31" formatCode="0.0%">
                  <c:v>0.26814598540145979</c:v>
                </c:pt>
                <c:pt idx="32" formatCode="0.0%">
                  <c:v>0.26896350364963512</c:v>
                </c:pt>
                <c:pt idx="33" formatCode="0.0%">
                  <c:v>0.26978102189781017</c:v>
                </c:pt>
              </c:numCache>
            </c:numRef>
          </c:val>
          <c:extLst>
            <c:ext xmlns:c16="http://schemas.microsoft.com/office/drawing/2014/chart" uri="{C3380CC4-5D6E-409C-BE32-E72D297353CC}">
              <c16:uniqueId val="{00000004-41E7-4788-8E33-3C1258288FD6}"/>
            </c:ext>
          </c:extLst>
        </c:ser>
        <c:ser>
          <c:idx val="12"/>
          <c:order val="4"/>
          <c:tx>
            <c:strRef>
              <c:f>'Timing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calculations'!$FF$7:$FF$40</c:f>
              <c:numCache>
                <c:formatCode>0.00%</c:formatCode>
                <c:ptCount val="34"/>
                <c:pt idx="0">
                  <c:v>0</c:v>
                </c:pt>
                <c:pt idx="1">
                  <c:v>0</c:v>
                </c:pt>
                <c:pt idx="2">
                  <c:v>0</c:v>
                </c:pt>
                <c:pt idx="3">
                  <c:v>0</c:v>
                </c:pt>
                <c:pt idx="4" formatCode="0.0%">
                  <c:v>3.4909164639092124E-3</c:v>
                </c:pt>
                <c:pt idx="5" formatCode="0.0%">
                  <c:v>7.0050283860502681E-3</c:v>
                </c:pt>
                <c:pt idx="6" formatCode="0.0%">
                  <c:v>1.0542335766423392E-2</c:v>
                </c:pt>
                <c:pt idx="7" formatCode="0.0%">
                  <c:v>1.4102838605028357E-2</c:v>
                </c:pt>
                <c:pt idx="8" formatCode="0.0%">
                  <c:v>1.7686536901865391E-2</c:v>
                </c:pt>
                <c:pt idx="9" formatCode="0.0%">
                  <c:v>2.1293430656934259E-2</c:v>
                </c:pt>
                <c:pt idx="10" formatCode="0.0%">
                  <c:v>2.4923519870235198E-2</c:v>
                </c:pt>
                <c:pt idx="11" formatCode="0.0%">
                  <c:v>2.8576804541768096E-2</c:v>
                </c:pt>
                <c:pt idx="12" formatCode="0.0%">
                  <c:v>3.2253284671532836E-2</c:v>
                </c:pt>
                <c:pt idx="13" formatCode="0.0%">
                  <c:v>3.595296025952964E-2</c:v>
                </c:pt>
                <c:pt idx="14" formatCode="0.0%">
                  <c:v>3.9675831305758281E-2</c:v>
                </c:pt>
                <c:pt idx="15" formatCode="0.0%">
                  <c:v>4.3421897810218997E-2</c:v>
                </c:pt>
                <c:pt idx="16" formatCode="0.0%">
                  <c:v>4.7191159772911551E-2</c:v>
                </c:pt>
                <c:pt idx="17" formatCode="0.0%">
                  <c:v>5.0983617193836178E-2</c:v>
                </c:pt>
                <c:pt idx="18" formatCode="0.0%">
                  <c:v>5.4799270072992644E-2</c:v>
                </c:pt>
                <c:pt idx="19" formatCode="0.0%">
                  <c:v>5.8638118410381156E-2</c:v>
                </c:pt>
                <c:pt idx="20" formatCode="0.0%">
                  <c:v>6.2500162206001672E-2</c:v>
                </c:pt>
                <c:pt idx="21" formatCode="0.0%">
                  <c:v>6.6385401459853971E-2</c:v>
                </c:pt>
                <c:pt idx="22" formatCode="0.0%">
                  <c:v>7.0293836171938379E-2</c:v>
                </c:pt>
                <c:pt idx="23" formatCode="0.0%">
                  <c:v>7.4225466342254742E-2</c:v>
                </c:pt>
                <c:pt idx="24" formatCode="0.0%">
                  <c:v>7.8180291970802937E-2</c:v>
                </c:pt>
                <c:pt idx="25" formatCode="0.0%">
                  <c:v>8.2158313057583199E-2</c:v>
                </c:pt>
                <c:pt idx="26" formatCode="0.0%">
                  <c:v>8.6159529602595264E-2</c:v>
                </c:pt>
                <c:pt idx="27" formatCode="0.0%">
                  <c:v>9.0183941605839479E-2</c:v>
                </c:pt>
                <c:pt idx="28" formatCode="0.0%">
                  <c:v>9.4231549067315581E-2</c:v>
                </c:pt>
                <c:pt idx="29" formatCode="0.0%">
                  <c:v>9.8302351987023542E-2</c:v>
                </c:pt>
                <c:pt idx="30" formatCode="0.0%">
                  <c:v>0.10239635036496358</c:v>
                </c:pt>
                <c:pt idx="31" formatCode="0.0%">
                  <c:v>0.10651354420113543</c:v>
                </c:pt>
                <c:pt idx="32" formatCode="0.0%">
                  <c:v>0.11065393349553942</c:v>
                </c:pt>
                <c:pt idx="33" formatCode="0.0%">
                  <c:v>0.11481751824817528</c:v>
                </c:pt>
              </c:numCache>
            </c:numRef>
          </c:val>
          <c:extLst>
            <c:ext xmlns:c16="http://schemas.microsoft.com/office/drawing/2014/chart" uri="{C3380CC4-5D6E-409C-BE32-E72D297353CC}">
              <c16:uniqueId val="{00000006-41E7-4788-8E33-3C1258288FD6}"/>
            </c:ext>
          </c:extLst>
        </c:ser>
        <c:ser>
          <c:idx val="7"/>
          <c:order val="5"/>
          <c:tx>
            <c:strRef>
              <c:f>'Timing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calculations'!$FG$7:$FG$40</c:f>
              <c:numCache>
                <c:formatCode>0.00%</c:formatCode>
                <c:ptCount val="34"/>
                <c:pt idx="0">
                  <c:v>0</c:v>
                </c:pt>
                <c:pt idx="1">
                  <c:v>0</c:v>
                </c:pt>
                <c:pt idx="2">
                  <c:v>0</c:v>
                </c:pt>
                <c:pt idx="3">
                  <c:v>0</c:v>
                </c:pt>
                <c:pt idx="4" formatCode="0.0%">
                  <c:v>1.684428223844281E-3</c:v>
                </c:pt>
                <c:pt idx="5" formatCode="0.0%">
                  <c:v>3.3800486618004843E-3</c:v>
                </c:pt>
                <c:pt idx="6" formatCode="0.0%">
                  <c:v>5.0868613138686106E-3</c:v>
                </c:pt>
                <c:pt idx="7" formatCode="0.0%">
                  <c:v>6.8048661800486588E-3</c:v>
                </c:pt>
                <c:pt idx="8" formatCode="0.0%">
                  <c:v>8.534063260340629E-3</c:v>
                </c:pt>
                <c:pt idx="9" formatCode="0.0%">
                  <c:v>1.0274452554744519E-2</c:v>
                </c:pt>
                <c:pt idx="10" formatCode="0.0%">
                  <c:v>1.2026034063260332E-2</c:v>
                </c:pt>
                <c:pt idx="11" formatCode="0.0%">
                  <c:v>1.378880778588807E-2</c:v>
                </c:pt>
                <c:pt idx="12" formatCode="0.0%">
                  <c:v>1.5562773722627729E-2</c:v>
                </c:pt>
                <c:pt idx="13" formatCode="0.0%">
                  <c:v>1.734793187347931E-2</c:v>
                </c:pt>
                <c:pt idx="14" formatCode="0.0%">
                  <c:v>1.9144282238442809E-2</c:v>
                </c:pt>
                <c:pt idx="15" formatCode="0.0%">
                  <c:v>2.0951824817518238E-2</c:v>
                </c:pt>
                <c:pt idx="16" formatCode="0.0%">
                  <c:v>2.2770559610705583E-2</c:v>
                </c:pt>
                <c:pt idx="17" formatCode="0.0%">
                  <c:v>2.460048661800485E-2</c:v>
                </c:pt>
                <c:pt idx="18" formatCode="0.0%">
                  <c:v>2.6441605839416044E-2</c:v>
                </c:pt>
                <c:pt idx="19" formatCode="0.0%">
                  <c:v>2.829391727493915E-2</c:v>
                </c:pt>
                <c:pt idx="20" formatCode="0.0%">
                  <c:v>3.0157420924574199E-2</c:v>
                </c:pt>
                <c:pt idx="21" formatCode="0.0%">
                  <c:v>3.2032116788321144E-2</c:v>
                </c:pt>
                <c:pt idx="22" formatCode="0.0%">
                  <c:v>3.3918004866180025E-2</c:v>
                </c:pt>
                <c:pt idx="23" formatCode="0.0%">
                  <c:v>3.5815085158150829E-2</c:v>
                </c:pt>
                <c:pt idx="24" formatCode="0.0%">
                  <c:v>3.7723357664233556E-2</c:v>
                </c:pt>
                <c:pt idx="25" formatCode="0.0%">
                  <c:v>3.9642822384428206E-2</c:v>
                </c:pt>
                <c:pt idx="26" formatCode="0.0%">
                  <c:v>4.1573479318734764E-2</c:v>
                </c:pt>
                <c:pt idx="27" formatCode="0.0%">
                  <c:v>4.3515328467153273E-2</c:v>
                </c:pt>
                <c:pt idx="28" formatCode="0.0%">
                  <c:v>4.5468369829683671E-2</c:v>
                </c:pt>
                <c:pt idx="29" formatCode="0.0%">
                  <c:v>4.7432603406326004E-2</c:v>
                </c:pt>
                <c:pt idx="30" formatCode="0.0%">
                  <c:v>4.9408029197080268E-2</c:v>
                </c:pt>
                <c:pt idx="31" formatCode="0.0%">
                  <c:v>5.1394647201946426E-2</c:v>
                </c:pt>
                <c:pt idx="32" formatCode="0.0%">
                  <c:v>5.3392457420924556E-2</c:v>
                </c:pt>
                <c:pt idx="33" formatCode="0.0%">
                  <c:v>5.5401459854014561E-2</c:v>
                </c:pt>
              </c:numCache>
            </c:numRef>
          </c:val>
          <c:extLst>
            <c:ext xmlns:c16="http://schemas.microsoft.com/office/drawing/2014/chart" uri="{C3380CC4-5D6E-409C-BE32-E72D297353CC}">
              <c16:uniqueId val="{00000008-41E7-4788-8E33-3C1258288FD6}"/>
            </c:ext>
          </c:extLst>
        </c:ser>
        <c:ser>
          <c:idx val="5"/>
          <c:order val="6"/>
          <c:tx>
            <c:strRef>
              <c:f>'Timing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calculations'!$FH$7:$FH$40</c:f>
              <c:numCache>
                <c:formatCode>0.00%</c:formatCode>
                <c:ptCount val="34"/>
                <c:pt idx="0">
                  <c:v>0</c:v>
                </c:pt>
                <c:pt idx="1">
                  <c:v>0</c:v>
                </c:pt>
                <c:pt idx="2">
                  <c:v>0</c:v>
                </c:pt>
                <c:pt idx="3">
                  <c:v>0</c:v>
                </c:pt>
                <c:pt idx="4" formatCode="0.0%">
                  <c:v>4.5149999999999479E-3</c:v>
                </c:pt>
                <c:pt idx="5" formatCode="0.0%">
                  <c:v>9.0600000000000073E-3</c:v>
                </c:pt>
                <c:pt idx="6" formatCode="0.0%">
                  <c:v>1.3634999999999956E-2</c:v>
                </c:pt>
                <c:pt idx="7" formatCode="0.0%">
                  <c:v>1.8240000000000017E-2</c:v>
                </c:pt>
                <c:pt idx="8" formatCode="0.0%">
                  <c:v>2.2874999999999968E-2</c:v>
                </c:pt>
                <c:pt idx="9" formatCode="0.0%">
                  <c:v>2.7540000000000026E-2</c:v>
                </c:pt>
                <c:pt idx="10" formatCode="0.0%">
                  <c:v>3.2234999999999965E-2</c:v>
                </c:pt>
                <c:pt idx="11" formatCode="0.0%">
                  <c:v>3.6960000000000028E-2</c:v>
                </c:pt>
                <c:pt idx="12" formatCode="0.0%">
                  <c:v>4.1714999999999981E-2</c:v>
                </c:pt>
                <c:pt idx="13" formatCode="0.0%">
                  <c:v>4.6500000000000048E-2</c:v>
                </c:pt>
                <c:pt idx="14" formatCode="0.0%">
                  <c:v>5.1314999999999986E-2</c:v>
                </c:pt>
                <c:pt idx="15" formatCode="0.0%">
                  <c:v>5.616000000000005E-2</c:v>
                </c:pt>
                <c:pt idx="16" formatCode="0.0%">
                  <c:v>6.1034999999999992E-2</c:v>
                </c:pt>
                <c:pt idx="17" formatCode="0.0%">
                  <c:v>6.5940000000000054E-2</c:v>
                </c:pt>
                <c:pt idx="18" formatCode="0.0%">
                  <c:v>7.0875000000000007E-2</c:v>
                </c:pt>
                <c:pt idx="19" formatCode="0.0%">
                  <c:v>7.1099999999999983E-2</c:v>
                </c:pt>
                <c:pt idx="20" formatCode="0.0%">
                  <c:v>7.1325000000000013E-2</c:v>
                </c:pt>
                <c:pt idx="21" formatCode="0.0%">
                  <c:v>7.1549999999999989E-2</c:v>
                </c:pt>
                <c:pt idx="22" formatCode="0.0%">
                  <c:v>7.1775000000000005E-2</c:v>
                </c:pt>
                <c:pt idx="23" formatCode="0.0%">
                  <c:v>7.2000000000000008E-2</c:v>
                </c:pt>
                <c:pt idx="24" formatCode="0.0%">
                  <c:v>7.2225000000000011E-2</c:v>
                </c:pt>
                <c:pt idx="25" formatCode="0.0%">
                  <c:v>7.2450000000000014E-2</c:v>
                </c:pt>
                <c:pt idx="26" formatCode="0.0%">
                  <c:v>7.267499999999999E-2</c:v>
                </c:pt>
                <c:pt idx="27" formatCode="0.0%">
                  <c:v>7.290000000000002E-2</c:v>
                </c:pt>
                <c:pt idx="28" formatCode="0.0%">
                  <c:v>7.3124999999999996E-2</c:v>
                </c:pt>
                <c:pt idx="29" formatCode="0.0%">
                  <c:v>7.3349999999999999E-2</c:v>
                </c:pt>
                <c:pt idx="30" formatCode="0.0%">
                  <c:v>7.3575000000000015E-2</c:v>
                </c:pt>
                <c:pt idx="31" formatCode="0.0%">
                  <c:v>7.3799999999999991E-2</c:v>
                </c:pt>
                <c:pt idx="32" formatCode="0.0%">
                  <c:v>7.4025000000000021E-2</c:v>
                </c:pt>
                <c:pt idx="33" formatCode="0.0%">
                  <c:v>7.4249999999999997E-2</c:v>
                </c:pt>
              </c:numCache>
            </c:numRef>
          </c:val>
          <c:extLst>
            <c:ext xmlns:c16="http://schemas.microsoft.com/office/drawing/2014/chart" uri="{C3380CC4-5D6E-409C-BE32-E72D297353CC}">
              <c16:uniqueId val="{0000000A-41E7-4788-8E33-3C1258288FD6}"/>
            </c:ext>
          </c:extLst>
        </c:ser>
        <c:ser>
          <c:idx val="9"/>
          <c:order val="7"/>
          <c:tx>
            <c:strRef>
              <c:f>'Timing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8.798076923077345E-4</c:v>
                </c:pt>
                <c:pt idx="9" formatCode="0.0%">
                  <c:v>1.7653846153845864E-3</c:v>
                </c:pt>
                <c:pt idx="10" formatCode="0.0%">
                  <c:v>2.6567307692307823E-3</c:v>
                </c:pt>
                <c:pt idx="11" formatCode="0.0%">
                  <c:v>3.5538461538462095E-3</c:v>
                </c:pt>
                <c:pt idx="12" formatCode="0.0%">
                  <c:v>4.4567307692307536E-3</c:v>
                </c:pt>
                <c:pt idx="13" formatCode="0.0%">
                  <c:v>5.3653846153846425E-3</c:v>
                </c:pt>
                <c:pt idx="14" formatCode="0.0%">
                  <c:v>6.2798076923076471E-3</c:v>
                </c:pt>
                <c:pt idx="15" formatCode="0.0%">
                  <c:v>7.1999999999999981E-3</c:v>
                </c:pt>
                <c:pt idx="16" formatCode="0.0%">
                  <c:v>8.1259615384615784E-3</c:v>
                </c:pt>
                <c:pt idx="17" formatCode="0.0%">
                  <c:v>9.0576923076922753E-3</c:v>
                </c:pt>
                <c:pt idx="18" formatCode="0.0%">
                  <c:v>9.9951923076923195E-3</c:v>
                </c:pt>
                <c:pt idx="19" formatCode="0.0%">
                  <c:v>1.093846153846159E-2</c:v>
                </c:pt>
                <c:pt idx="20" formatCode="0.0%">
                  <c:v>1.1887499999999983E-2</c:v>
                </c:pt>
                <c:pt idx="21" formatCode="0.0%">
                  <c:v>1.2842307692307715E-2</c:v>
                </c:pt>
                <c:pt idx="22" formatCode="0.0%">
                  <c:v>1.3802884615384566E-2</c:v>
                </c:pt>
                <c:pt idx="23" formatCode="0.0%">
                  <c:v>1.4769230769230764E-2</c:v>
                </c:pt>
                <c:pt idx="24" formatCode="0.0%">
                  <c:v>1.5741346153846193E-2</c:v>
                </c:pt>
                <c:pt idx="25" formatCode="0.0%">
                  <c:v>1.6719230769230736E-2</c:v>
                </c:pt>
                <c:pt idx="26" formatCode="0.0%">
                  <c:v>1.770288461538462E-2</c:v>
                </c:pt>
                <c:pt idx="27" formatCode="0.0%">
                  <c:v>1.8692307692307751E-2</c:v>
                </c:pt>
                <c:pt idx="28" formatCode="0.0%">
                  <c:v>1.9687499999999976E-2</c:v>
                </c:pt>
                <c:pt idx="29" formatCode="0.0%">
                  <c:v>2.0688461538461562E-2</c:v>
                </c:pt>
                <c:pt idx="30" formatCode="0.0%">
                  <c:v>2.1695192307692256E-2</c:v>
                </c:pt>
                <c:pt idx="31" formatCode="0.0%">
                  <c:v>2.2707692307692293E-2</c:v>
                </c:pt>
                <c:pt idx="32" formatCode="0.0%">
                  <c:v>2.3725961538461581E-2</c:v>
                </c:pt>
                <c:pt idx="33" formatCode="0.0%">
                  <c:v>2.474999999999996E-2</c:v>
                </c:pt>
              </c:numCache>
            </c:numRef>
          </c:val>
          <c:extLst>
            <c:ext xmlns:c16="http://schemas.microsoft.com/office/drawing/2014/chart" uri="{C3380CC4-5D6E-409C-BE32-E72D297353CC}">
              <c16:uniqueId val="{0000000C-41E7-4788-8E33-3C1258288FD6}"/>
            </c:ext>
          </c:extLst>
        </c:ser>
        <c:ser>
          <c:idx val="6"/>
          <c:order val="8"/>
          <c:tx>
            <c:strRef>
              <c:f>'Timing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calculations'!$FJ$7:$FJ$40</c:f>
              <c:numCache>
                <c:formatCode>0.00%</c:formatCode>
                <c:ptCount val="34"/>
                <c:pt idx="0">
                  <c:v>0</c:v>
                </c:pt>
                <c:pt idx="1">
                  <c:v>0</c:v>
                </c:pt>
                <c:pt idx="2">
                  <c:v>0</c:v>
                </c:pt>
                <c:pt idx="3">
                  <c:v>0</c:v>
                </c:pt>
                <c:pt idx="4" formatCode="0.0%">
                  <c:v>0</c:v>
                </c:pt>
                <c:pt idx="5" formatCode="0.0%">
                  <c:v>0</c:v>
                </c:pt>
                <c:pt idx="6" formatCode="0.0%">
                  <c:v>2.524999999999722E-4</c:v>
                </c:pt>
                <c:pt idx="7" formatCode="0.0%">
                  <c:v>5.0666666666661093E-4</c:v>
                </c:pt>
                <c:pt idx="8" formatCode="0.0%">
                  <c:v>7.62500000000029E-4</c:v>
                </c:pt>
                <c:pt idx="9" formatCode="0.0%">
                  <c:v>1.0200000000000009E-3</c:v>
                </c:pt>
                <c:pt idx="10" formatCode="0.0%">
                  <c:v>1.2791666666666392E-3</c:v>
                </c:pt>
                <c:pt idx="11" formatCode="0.0%">
                  <c:v>1.5399999999999444E-3</c:v>
                </c:pt>
                <c:pt idx="12" formatCode="0.0%">
                  <c:v>1.8025000000000302E-3</c:v>
                </c:pt>
                <c:pt idx="13" formatCode="0.0%">
                  <c:v>2.0666666666666689E-3</c:v>
                </c:pt>
                <c:pt idx="14" formatCode="0.0%">
                  <c:v>2.332499999999973E-3</c:v>
                </c:pt>
                <c:pt idx="15" formatCode="0.0%">
                  <c:v>2.5999999999999448E-3</c:v>
                </c:pt>
                <c:pt idx="16" formatCode="0.0%">
                  <c:v>2.8691666666666978E-3</c:v>
                </c:pt>
                <c:pt idx="17" formatCode="0.0%">
                  <c:v>3.1400000000000026E-3</c:v>
                </c:pt>
                <c:pt idx="18" formatCode="0.0%">
                  <c:v>3.4124999999999741E-3</c:v>
                </c:pt>
                <c:pt idx="19" formatCode="0.0%">
                  <c:v>3.6866666666666103E-3</c:v>
                </c:pt>
                <c:pt idx="20" formatCode="0.0%">
                  <c:v>3.9625000000000337E-3</c:v>
                </c:pt>
                <c:pt idx="21" formatCode="0.0%">
                  <c:v>4.2400000000000033E-3</c:v>
                </c:pt>
                <c:pt idx="22" formatCode="0.0%">
                  <c:v>4.519166666666641E-3</c:v>
                </c:pt>
                <c:pt idx="23" formatCode="0.0%">
                  <c:v>4.7999999999999449E-3</c:v>
                </c:pt>
                <c:pt idx="24" formatCode="0.0%">
                  <c:v>5.0825000000000349E-3</c:v>
                </c:pt>
                <c:pt idx="25" formatCode="0.0%">
                  <c:v>5.3666666666666724E-3</c:v>
                </c:pt>
                <c:pt idx="26" formatCode="0.0%">
                  <c:v>5.6524999999999735E-3</c:v>
                </c:pt>
                <c:pt idx="27" formatCode="0.0%">
                  <c:v>5.9399999999999471E-3</c:v>
                </c:pt>
                <c:pt idx="28" formatCode="0.0%">
                  <c:v>6.2291666666667023E-3</c:v>
                </c:pt>
                <c:pt idx="29" formatCode="0.0%">
                  <c:v>6.5200000000000058E-3</c:v>
                </c:pt>
                <c:pt idx="30" formatCode="0.0%">
                  <c:v>6.8124999999999766E-3</c:v>
                </c:pt>
                <c:pt idx="31" formatCode="0.0%">
                  <c:v>7.1066666666666101E-3</c:v>
                </c:pt>
                <c:pt idx="32" formatCode="0.0%">
                  <c:v>7.4025000000000384E-3</c:v>
                </c:pt>
                <c:pt idx="33" formatCode="0.0%">
                  <c:v>7.7000000000000063E-3</c:v>
                </c:pt>
              </c:numCache>
            </c:numRef>
          </c:val>
          <c:extLst>
            <c:ext xmlns:c16="http://schemas.microsoft.com/office/drawing/2014/chart" uri="{C3380CC4-5D6E-409C-BE32-E72D297353CC}">
              <c16:uniqueId val="{0000000D-41E7-4788-8E33-3C1258288FD6}"/>
            </c:ext>
          </c:extLst>
        </c:ser>
        <c:ser>
          <c:idx val="3"/>
          <c:order val="9"/>
          <c:tx>
            <c:strRef>
              <c:f>'Timing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calculations'!$FK$7:$FK$40</c:f>
              <c:numCache>
                <c:formatCode>0.00%</c:formatCode>
                <c:ptCount val="34"/>
                <c:pt idx="0">
                  <c:v>0</c:v>
                </c:pt>
                <c:pt idx="1">
                  <c:v>0</c:v>
                </c:pt>
                <c:pt idx="2">
                  <c:v>0</c:v>
                </c:pt>
                <c:pt idx="3">
                  <c:v>0</c:v>
                </c:pt>
                <c:pt idx="4" formatCode="0.0%">
                  <c:v>9.6319999999996064E-4</c:v>
                </c:pt>
                <c:pt idx="5" formatCode="0.0%">
                  <c:v>1.9328000000000329E-3</c:v>
                </c:pt>
                <c:pt idx="6" formatCode="0.0%">
                  <c:v>2.9087999999999935E-3</c:v>
                </c:pt>
                <c:pt idx="7" formatCode="0.0%">
                  <c:v>3.8911999999999541E-3</c:v>
                </c:pt>
                <c:pt idx="8" formatCode="0.0%">
                  <c:v>4.8800000000000275E-3</c:v>
                </c:pt>
                <c:pt idx="9" formatCode="0.0%">
                  <c:v>5.8751999999999876E-3</c:v>
                </c:pt>
                <c:pt idx="10" formatCode="0.0%">
                  <c:v>6.876799999999946E-3</c:v>
                </c:pt>
                <c:pt idx="11" formatCode="0.0%">
                  <c:v>7.8848000000000199E-3</c:v>
                </c:pt>
                <c:pt idx="12" formatCode="0.0%">
                  <c:v>8.8991999999999804E-3</c:v>
                </c:pt>
                <c:pt idx="13" formatCode="0.0%">
                  <c:v>9.9200000000000555E-3</c:v>
                </c:pt>
                <c:pt idx="14" formatCode="0.0%">
                  <c:v>1.0947200000000015E-2</c:v>
                </c:pt>
                <c:pt idx="15" formatCode="0.0%">
                  <c:v>1.1980799999999974E-2</c:v>
                </c:pt>
                <c:pt idx="16" formatCode="0.0%">
                  <c:v>1.3020800000000048E-2</c:v>
                </c:pt>
                <c:pt idx="17" formatCode="0.0%">
                  <c:v>1.4067200000000007E-2</c:v>
                </c:pt>
                <c:pt idx="18" formatCode="0.0%">
                  <c:v>1.5119999999999967E-2</c:v>
                </c:pt>
                <c:pt idx="19" formatCode="0.0%">
                  <c:v>1.6179200000000036E-2</c:v>
                </c:pt>
                <c:pt idx="20" formatCode="0.0%">
                  <c:v>1.7244800000000005E-2</c:v>
                </c:pt>
                <c:pt idx="21" formatCode="0.0%">
                  <c:v>1.8316799999999956E-2</c:v>
                </c:pt>
                <c:pt idx="22" formatCode="0.0%">
                  <c:v>1.9395200000000036E-2</c:v>
                </c:pt>
                <c:pt idx="23" formatCode="0.0%">
                  <c:v>2.0479999999999995E-2</c:v>
                </c:pt>
                <c:pt idx="24" formatCode="0.0%">
                  <c:v>2.1571199999999954E-2</c:v>
                </c:pt>
                <c:pt idx="25" formatCode="0.0%">
                  <c:v>2.2668800000000034E-2</c:v>
                </c:pt>
                <c:pt idx="26" formatCode="0.0%">
                  <c:v>2.3772799999999983E-2</c:v>
                </c:pt>
                <c:pt idx="27" formatCode="0.0%">
                  <c:v>2.4883199999999953E-2</c:v>
                </c:pt>
                <c:pt idx="28" formatCode="0.0%">
                  <c:v>2.600000000000002E-2</c:v>
                </c:pt>
                <c:pt idx="29" formatCode="0.0%">
                  <c:v>2.7123199999999979E-2</c:v>
                </c:pt>
                <c:pt idx="30" formatCode="0.0%">
                  <c:v>2.8252799999999939E-2</c:v>
                </c:pt>
                <c:pt idx="31" formatCode="0.0%">
                  <c:v>2.938880000000001E-2</c:v>
                </c:pt>
                <c:pt idx="32" formatCode="0.0%">
                  <c:v>3.0531199999999981E-2</c:v>
                </c:pt>
                <c:pt idx="33" formatCode="0.0%">
                  <c:v>3.1679999999999923E-2</c:v>
                </c:pt>
              </c:numCache>
            </c:numRef>
          </c:val>
          <c:extLst>
            <c:ext xmlns:c16="http://schemas.microsoft.com/office/drawing/2014/chart" uri="{C3380CC4-5D6E-409C-BE32-E72D297353CC}">
              <c16:uniqueId val="{0000000F-41E7-4788-8E33-3C1258288FD6}"/>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41E7-4788-8E33-3C1258288FD6}"/>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41E7-4788-8E33-3C1258288FD6}"/>
              </c:ext>
            </c:extLst>
          </c:dPt>
          <c:dLbls>
            <c:dLbl>
              <c:idx val="3"/>
              <c:layout>
                <c:manualLayout>
                  <c:x val="-4.1555726265924076E-2"/>
                  <c:y val="0.3243507203520956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0135753152807118"/>
                      <c:h val="3.3486916755492903E-2"/>
                    </c:manualLayout>
                  </c15:layout>
                </c:ext>
                <c:ext xmlns:c16="http://schemas.microsoft.com/office/drawing/2014/chart" uri="{C3380CC4-5D6E-409C-BE32-E72D297353CC}">
                  <c16:uniqueId val="{00000011-41E7-4788-8E33-3C1258288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12-41E7-4788-8E33-3C1258288FD6}"/>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3-41E7-4788-8E33-3C1258288FD6}"/>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60%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calculations'!$GE$6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calculations'!$GE$7:$GE$40</c:f>
              <c:numCache>
                <c:formatCode>0%</c:formatCode>
                <c:ptCount val="34"/>
                <c:pt idx="0">
                  <c:v>1</c:v>
                </c:pt>
                <c:pt idx="1">
                  <c:v>0.98333333333333328</c:v>
                </c:pt>
                <c:pt idx="2">
                  <c:v>0.96666666666666656</c:v>
                </c:pt>
                <c:pt idx="3" formatCode="0.00%">
                  <c:v>0.95</c:v>
                </c:pt>
                <c:pt idx="4" formatCode="0.00%">
                  <c:v>0.92126769893611948</c:v>
                </c:pt>
                <c:pt idx="5" formatCode="0.00%">
                  <c:v>0.89232233717856968</c:v>
                </c:pt>
                <c:pt idx="6" formatCode="0.00%">
                  <c:v>0.85850854360259032</c:v>
                </c:pt>
                <c:pt idx="7" formatCode="0.00%">
                  <c:v>0.82402394559814451</c:v>
                </c:pt>
                <c:pt idx="8" formatCode="0.00%">
                  <c:v>0.78798452150701104</c:v>
                </c:pt>
                <c:pt idx="9" formatCode="0.00%">
                  <c:v>0.75126009582481601</c:v>
                </c:pt>
                <c:pt idx="10" formatCode="0.00%">
                  <c:v>0.71384645458564588</c:v>
                </c:pt>
                <c:pt idx="11" formatCode="0.00%">
                  <c:v>0.67573938382358767</c:v>
                </c:pt>
                <c:pt idx="12" formatCode="0.00%">
                  <c:v>0.63693466957272871</c:v>
                </c:pt>
                <c:pt idx="13" formatCode="0.00%">
                  <c:v>0.59742809786715523</c:v>
                </c:pt>
                <c:pt idx="14" formatCode="0.00%">
                  <c:v>0.55721545474095513</c:v>
                </c:pt>
                <c:pt idx="15" formatCode="0.00%">
                  <c:v>0.51629252622821475</c:v>
                </c:pt>
                <c:pt idx="16" formatCode="0.00%">
                  <c:v>0.47465509836302089</c:v>
                </c:pt>
                <c:pt idx="17" formatCode="0.00%">
                  <c:v>0.43229895717946099</c:v>
                </c:pt>
                <c:pt idx="18" formatCode="0.00%">
                  <c:v>0.38921988871162205</c:v>
                </c:pt>
                <c:pt idx="19" formatCode="0.00%">
                  <c:v>0.36737606342181428</c:v>
                </c:pt>
                <c:pt idx="20" formatCode="0.00%">
                  <c:v>0.34493988534899112</c:v>
                </c:pt>
                <c:pt idx="21" formatCode="0.00%">
                  <c:v>0.32719716405665145</c:v>
                </c:pt>
                <c:pt idx="22" formatCode="0.00%">
                  <c:v>0.30888693263770539</c:v>
                </c:pt>
                <c:pt idx="23" formatCode="0.00%">
                  <c:v>0.29000497712624074</c:v>
                </c:pt>
                <c:pt idx="24" formatCode="0.00%">
                  <c:v>0.27820157467349271</c:v>
                </c:pt>
                <c:pt idx="25" formatCode="0.00%">
                  <c:v>0.26738932367901547</c:v>
                </c:pt>
                <c:pt idx="26" formatCode="0.00%">
                  <c:v>0.25650356531928109</c:v>
                </c:pt>
                <c:pt idx="27" formatCode="0.00%">
                  <c:v>0.24554429959428825</c:v>
                </c:pt>
                <c:pt idx="28" formatCode="0.00%">
                  <c:v>0.23451152650403728</c:v>
                </c:pt>
                <c:pt idx="29" formatCode="0.00%">
                  <c:v>0.22340524604852852</c:v>
                </c:pt>
                <c:pt idx="30" formatCode="0.00%">
                  <c:v>0.21222545822776173</c:v>
                </c:pt>
                <c:pt idx="31" formatCode="0.00%">
                  <c:v>0.20097216304173715</c:v>
                </c:pt>
                <c:pt idx="32" formatCode="0.00%">
                  <c:v>0.18964536049045355</c:v>
                </c:pt>
                <c:pt idx="33" formatCode="0.00%">
                  <c:v>0.17824505057391304</c:v>
                </c:pt>
              </c:numCache>
            </c:numRef>
          </c:val>
          <c:extLst>
            <c:ext xmlns:c16="http://schemas.microsoft.com/office/drawing/2014/chart" uri="{C3380CC4-5D6E-409C-BE32-E72D297353CC}">
              <c16:uniqueId val="{00000000-27F5-4098-B992-B1938E83E239}"/>
            </c:ext>
          </c:extLst>
        </c:ser>
        <c:ser>
          <c:idx val="11"/>
          <c:order val="1"/>
          <c:tx>
            <c:strRef>
              <c:f>'Timing calculations'!$GG$6</c:f>
              <c:strCache>
                <c:ptCount val="1"/>
                <c:pt idx="0">
                  <c:v>60%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calculations'!$GG$7:$GG$40</c:f>
              <c:numCache>
                <c:formatCode>0.00%</c:formatCode>
                <c:ptCount val="34"/>
                <c:pt idx="0">
                  <c:v>0</c:v>
                </c:pt>
                <c:pt idx="1">
                  <c:v>0</c:v>
                </c:pt>
                <c:pt idx="2">
                  <c:v>0</c:v>
                </c:pt>
                <c:pt idx="3">
                  <c:v>0</c:v>
                </c:pt>
                <c:pt idx="4" formatCode="0.0%">
                  <c:v>0</c:v>
                </c:pt>
                <c:pt idx="5" formatCode="0.0%">
                  <c:v>0</c:v>
                </c:pt>
                <c:pt idx="6" formatCode="0.0%">
                  <c:v>7.3151566149565212E-3</c:v>
                </c:pt>
                <c:pt idx="7" formatCode="0.0%">
                  <c:v>1.5105613304579711E-2</c:v>
                </c:pt>
                <c:pt idx="8" formatCode="0.0%">
                  <c:v>2.3375584034782609E-2</c:v>
                </c:pt>
                <c:pt idx="9" formatCode="0.0%">
                  <c:v>3.2129282771478251E-2</c:v>
                </c:pt>
                <c:pt idx="10" formatCode="0.0%">
                  <c:v>4.1370923480579698E-2</c:v>
                </c:pt>
                <c:pt idx="11" formatCode="0.0%">
                  <c:v>5.1104720128000006E-2</c:v>
                </c:pt>
                <c:pt idx="12" formatCode="0.0%">
                  <c:v>6.133488667965218E-2</c:v>
                </c:pt>
                <c:pt idx="13" formatCode="0.0%">
                  <c:v>7.2065637101449281E-2</c:v>
                </c:pt>
                <c:pt idx="14" formatCode="0.0%">
                  <c:v>8.330118535930435E-2</c:v>
                </c:pt>
                <c:pt idx="15" formatCode="0.0%">
                  <c:v>9.5045745419130453E-2</c:v>
                </c:pt>
                <c:pt idx="16" formatCode="0.0%">
                  <c:v>0.10730353124684058</c:v>
                </c:pt>
                <c:pt idx="17" formatCode="0.0%">
                  <c:v>0.12007875680834784</c:v>
                </c:pt>
                <c:pt idx="18" formatCode="0.0%">
                  <c:v>0.13337563606956523</c:v>
                </c:pt>
                <c:pt idx="19" formatCode="0.0%">
                  <c:v>0.14719838299640578</c:v>
                </c:pt>
                <c:pt idx="20" formatCode="0.0%">
                  <c:v>0.16155121155478266</c:v>
                </c:pt>
                <c:pt idx="21" formatCode="0.0%">
                  <c:v>0.17643833571060868</c:v>
                </c:pt>
                <c:pt idx="22" formatCode="0.0%">
                  <c:v>0.19186396942979711</c:v>
                </c:pt>
                <c:pt idx="23" formatCode="0.0%">
                  <c:v>0.20783232667826088</c:v>
                </c:pt>
                <c:pt idx="24" formatCode="0.0%">
                  <c:v>0.21253985187339131</c:v>
                </c:pt>
                <c:pt idx="25" formatCode="0.0%">
                  <c:v>0.21727266086400004</c:v>
                </c:pt>
                <c:pt idx="26" formatCode="0.0%">
                  <c:v>0.2220307536500869</c:v>
                </c:pt>
                <c:pt idx="27" formatCode="0.0%">
                  <c:v>0.22681413023165226</c:v>
                </c:pt>
                <c:pt idx="28" formatCode="0.0%">
                  <c:v>0.23162279060869562</c:v>
                </c:pt>
                <c:pt idx="29" formatCode="0.0%">
                  <c:v>0.23645673478121743</c:v>
                </c:pt>
                <c:pt idx="30" formatCode="0.0%">
                  <c:v>0.24131596274921741</c:v>
                </c:pt>
                <c:pt idx="31" formatCode="0.0%">
                  <c:v>0.24620047451269561</c:v>
                </c:pt>
                <c:pt idx="32" formatCode="0.0%">
                  <c:v>0.25111027007165221</c:v>
                </c:pt>
                <c:pt idx="33" formatCode="0.0%">
                  <c:v>0.25604534942608698</c:v>
                </c:pt>
              </c:numCache>
            </c:numRef>
          </c:val>
          <c:extLst>
            <c:ext xmlns:c16="http://schemas.microsoft.com/office/drawing/2014/chart" uri="{C3380CC4-5D6E-409C-BE32-E72D297353CC}">
              <c16:uniqueId val="{00000001-27F5-4098-B992-B1938E83E239}"/>
            </c:ext>
          </c:extLst>
        </c:ser>
        <c:ser>
          <c:idx val="4"/>
          <c:order val="2"/>
          <c:tx>
            <c:strRef>
              <c:f>'Timing calculations'!$GH$6</c:f>
              <c:strCache>
                <c:ptCount val="1"/>
                <c:pt idx="0">
                  <c:v>ICE fuel efficiency@60%BEV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calculations'!$GH$7:$GH$40</c:f>
              <c:numCache>
                <c:formatCode>0.00%</c:formatCode>
                <c:ptCount val="34"/>
                <c:pt idx="0">
                  <c:v>0</c:v>
                </c:pt>
                <c:pt idx="1">
                  <c:v>0</c:v>
                </c:pt>
                <c:pt idx="2">
                  <c:v>0</c:v>
                </c:pt>
                <c:pt idx="3">
                  <c:v>0</c:v>
                </c:pt>
                <c:pt idx="4" formatCode="0.0%">
                  <c:v>5.0072235294117617E-3</c:v>
                </c:pt>
                <c:pt idx="5" formatCode="0.0%">
                  <c:v>1.0047717647058819E-2</c:v>
                </c:pt>
                <c:pt idx="6" formatCode="0.0%">
                  <c:v>1.2209196862745094E-2</c:v>
                </c:pt>
                <c:pt idx="7" formatCode="0.0%">
                  <c:v>1.4384723660130714E-2</c:v>
                </c:pt>
                <c:pt idx="8" formatCode="0.0%">
                  <c:v>1.6574298039215681E-2</c:v>
                </c:pt>
                <c:pt idx="9" formatCode="0.0%">
                  <c:v>1.877791999999999E-2</c:v>
                </c:pt>
                <c:pt idx="10" formatCode="0.0%">
                  <c:v>2.0995589542483647E-2</c:v>
                </c:pt>
                <c:pt idx="11" formatCode="0.0%">
                  <c:v>2.3227306666666656E-2</c:v>
                </c:pt>
                <c:pt idx="12" formatCode="0.0%">
                  <c:v>2.5473071372549005E-2</c:v>
                </c:pt>
                <c:pt idx="13" formatCode="0.0%">
                  <c:v>2.773288366013071E-2</c:v>
                </c:pt>
                <c:pt idx="14" formatCode="0.0%">
                  <c:v>3.0006743529411739E-2</c:v>
                </c:pt>
                <c:pt idx="15" formatCode="0.0%">
                  <c:v>3.2294650980392144E-2</c:v>
                </c:pt>
                <c:pt idx="16" formatCode="0.0%">
                  <c:v>3.4596606013071872E-2</c:v>
                </c:pt>
                <c:pt idx="17" formatCode="0.0%">
                  <c:v>3.6912608627450966E-2</c:v>
                </c:pt>
                <c:pt idx="18" formatCode="0.0%">
                  <c:v>3.9242658823529404E-2</c:v>
                </c:pt>
                <c:pt idx="19" formatCode="0.0%">
                  <c:v>4.1586756601307166E-2</c:v>
                </c:pt>
                <c:pt idx="20" formatCode="0.0%">
                  <c:v>4.3944901960784322E-2</c:v>
                </c:pt>
                <c:pt idx="21" formatCode="0.0%">
                  <c:v>4.1027071372549004E-2</c:v>
                </c:pt>
                <c:pt idx="22" formatCode="0.0%">
                  <c:v>3.809001777777777E-2</c:v>
                </c:pt>
                <c:pt idx="23" formatCode="0.0%">
                  <c:v>3.5133741176470556E-2</c:v>
                </c:pt>
                <c:pt idx="24" formatCode="0.0%">
                  <c:v>3.6311519999999993E-2</c:v>
                </c:pt>
                <c:pt idx="25" formatCode="0.0%">
                  <c:v>3.6424640000000001E-2</c:v>
                </c:pt>
                <c:pt idx="26" formatCode="0.0%">
                  <c:v>3.6537759999999989E-2</c:v>
                </c:pt>
                <c:pt idx="27" formatCode="0.0%">
                  <c:v>3.6650880000000004E-2</c:v>
                </c:pt>
                <c:pt idx="28" formatCode="0.0%">
                  <c:v>3.6763999999999991E-2</c:v>
                </c:pt>
                <c:pt idx="29" formatCode="0.0%">
                  <c:v>3.6877119999999992E-2</c:v>
                </c:pt>
                <c:pt idx="30" formatCode="0.0%">
                  <c:v>3.6990239999999994E-2</c:v>
                </c:pt>
                <c:pt idx="31" formatCode="0.0%">
                  <c:v>3.7103359999999981E-2</c:v>
                </c:pt>
                <c:pt idx="32" formatCode="0.0%">
                  <c:v>3.7216480000000003E-2</c:v>
                </c:pt>
                <c:pt idx="33" formatCode="0.0%">
                  <c:v>3.7329599999999991E-2</c:v>
                </c:pt>
              </c:numCache>
            </c:numRef>
          </c:val>
          <c:extLst>
            <c:ext xmlns:c16="http://schemas.microsoft.com/office/drawing/2014/chart" uri="{C3380CC4-5D6E-409C-BE32-E72D297353CC}">
              <c16:uniqueId val="{00000002-27F5-4098-B992-B1938E83E239}"/>
            </c:ext>
          </c:extLst>
        </c:ser>
        <c:ser>
          <c:idx val="0"/>
          <c:order val="3"/>
          <c:tx>
            <c:strRef>
              <c:f>'Timing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calculations'!$FE$7:$FE$40</c:f>
              <c:numCache>
                <c:formatCode>0.00%</c:formatCode>
                <c:ptCount val="34"/>
                <c:pt idx="0">
                  <c:v>0</c:v>
                </c:pt>
                <c:pt idx="1">
                  <c:v>0</c:v>
                </c:pt>
                <c:pt idx="2">
                  <c:v>0</c:v>
                </c:pt>
                <c:pt idx="3">
                  <c:v>0</c:v>
                </c:pt>
                <c:pt idx="4" formatCode="0.0%">
                  <c:v>1.6404866180048626E-2</c:v>
                </c:pt>
                <c:pt idx="5" formatCode="0.0%">
                  <c:v>3.2918734793187389E-2</c:v>
                </c:pt>
                <c:pt idx="6" formatCode="0.0%">
                  <c:v>4.9541605839416067E-2</c:v>
                </c:pt>
                <c:pt idx="7" formatCode="0.0%">
                  <c:v>6.6273479318734771E-2</c:v>
                </c:pt>
                <c:pt idx="8" formatCode="0.0%">
                  <c:v>8.3114355231143619E-2</c:v>
                </c:pt>
                <c:pt idx="9" formatCode="0.0%">
                  <c:v>0.10006423357664236</c:v>
                </c:pt>
                <c:pt idx="10" formatCode="0.0%">
                  <c:v>0.11712311435523112</c:v>
                </c:pt>
                <c:pt idx="11" formatCode="0.0%">
                  <c:v>0.13429099756690993</c:v>
                </c:pt>
                <c:pt idx="12" formatCode="0.0%">
                  <c:v>0.15156788321167874</c:v>
                </c:pt>
                <c:pt idx="13" formatCode="0.0%">
                  <c:v>0.16895377128953773</c:v>
                </c:pt>
                <c:pt idx="14" formatCode="0.0%">
                  <c:v>0.18644866180048658</c:v>
                </c:pt>
                <c:pt idx="15" formatCode="0.0%">
                  <c:v>0.20405255474452549</c:v>
                </c:pt>
                <c:pt idx="16" formatCode="0.0%">
                  <c:v>0.22176545012165449</c:v>
                </c:pt>
                <c:pt idx="17" formatCode="0.0%">
                  <c:v>0.23958734793187345</c:v>
                </c:pt>
                <c:pt idx="18" formatCode="0.0%">
                  <c:v>0.25751824817518243</c:v>
                </c:pt>
                <c:pt idx="19" formatCode="0.0%">
                  <c:v>0.25833576642335754</c:v>
                </c:pt>
                <c:pt idx="20" formatCode="0.0%">
                  <c:v>0.25915328467153281</c:v>
                </c:pt>
                <c:pt idx="21" formatCode="0.0%">
                  <c:v>0.25997080291970803</c:v>
                </c:pt>
                <c:pt idx="22" formatCode="0.0%">
                  <c:v>0.26078832116788325</c:v>
                </c:pt>
                <c:pt idx="23" formatCode="0.0%">
                  <c:v>0.26160583941605842</c:v>
                </c:pt>
                <c:pt idx="24" formatCode="0.0%">
                  <c:v>0.26242335766423358</c:v>
                </c:pt>
                <c:pt idx="25" formatCode="0.0%">
                  <c:v>0.2632408759124088</c:v>
                </c:pt>
                <c:pt idx="26" formatCode="0.0%">
                  <c:v>0.26405839416058391</c:v>
                </c:pt>
                <c:pt idx="27" formatCode="0.0%">
                  <c:v>0.26487591240875918</c:v>
                </c:pt>
                <c:pt idx="28" formatCode="0.0%">
                  <c:v>0.26569343065693429</c:v>
                </c:pt>
                <c:pt idx="29" formatCode="0.0%">
                  <c:v>0.26651094890510951</c:v>
                </c:pt>
                <c:pt idx="30" formatCode="0.0%">
                  <c:v>0.26732846715328468</c:v>
                </c:pt>
                <c:pt idx="31" formatCode="0.0%">
                  <c:v>0.26814598540145979</c:v>
                </c:pt>
                <c:pt idx="32" formatCode="0.0%">
                  <c:v>0.26896350364963512</c:v>
                </c:pt>
                <c:pt idx="33" formatCode="0.0%">
                  <c:v>0.26978102189781017</c:v>
                </c:pt>
              </c:numCache>
            </c:numRef>
          </c:val>
          <c:extLst>
            <c:ext xmlns:c16="http://schemas.microsoft.com/office/drawing/2014/chart" uri="{C3380CC4-5D6E-409C-BE32-E72D297353CC}">
              <c16:uniqueId val="{00000004-27F5-4098-B992-B1938E83E239}"/>
            </c:ext>
          </c:extLst>
        </c:ser>
        <c:ser>
          <c:idx val="12"/>
          <c:order val="4"/>
          <c:tx>
            <c:strRef>
              <c:f>'Timing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calculations'!$FF$7:$FF$40</c:f>
              <c:numCache>
                <c:formatCode>0.00%</c:formatCode>
                <c:ptCount val="34"/>
                <c:pt idx="0">
                  <c:v>0</c:v>
                </c:pt>
                <c:pt idx="1">
                  <c:v>0</c:v>
                </c:pt>
                <c:pt idx="2">
                  <c:v>0</c:v>
                </c:pt>
                <c:pt idx="3">
                  <c:v>0</c:v>
                </c:pt>
                <c:pt idx="4" formatCode="0.0%">
                  <c:v>3.4909164639092124E-3</c:v>
                </c:pt>
                <c:pt idx="5" formatCode="0.0%">
                  <c:v>7.0050283860502681E-3</c:v>
                </c:pt>
                <c:pt idx="6" formatCode="0.0%">
                  <c:v>1.0542335766423392E-2</c:v>
                </c:pt>
                <c:pt idx="7" formatCode="0.0%">
                  <c:v>1.4102838605028357E-2</c:v>
                </c:pt>
                <c:pt idx="8" formatCode="0.0%">
                  <c:v>1.7686536901865391E-2</c:v>
                </c:pt>
                <c:pt idx="9" formatCode="0.0%">
                  <c:v>2.1293430656934259E-2</c:v>
                </c:pt>
                <c:pt idx="10" formatCode="0.0%">
                  <c:v>2.4923519870235198E-2</c:v>
                </c:pt>
                <c:pt idx="11" formatCode="0.0%">
                  <c:v>2.8576804541768096E-2</c:v>
                </c:pt>
                <c:pt idx="12" formatCode="0.0%">
                  <c:v>3.2253284671532836E-2</c:v>
                </c:pt>
                <c:pt idx="13" formatCode="0.0%">
                  <c:v>3.595296025952964E-2</c:v>
                </c:pt>
                <c:pt idx="14" formatCode="0.0%">
                  <c:v>3.9675831305758281E-2</c:v>
                </c:pt>
                <c:pt idx="15" formatCode="0.0%">
                  <c:v>4.3421897810218997E-2</c:v>
                </c:pt>
                <c:pt idx="16" formatCode="0.0%">
                  <c:v>4.7191159772911551E-2</c:v>
                </c:pt>
                <c:pt idx="17" formatCode="0.0%">
                  <c:v>5.0983617193836178E-2</c:v>
                </c:pt>
                <c:pt idx="18" formatCode="0.0%">
                  <c:v>5.4799270072992644E-2</c:v>
                </c:pt>
                <c:pt idx="19" formatCode="0.0%">
                  <c:v>5.8638118410381156E-2</c:v>
                </c:pt>
                <c:pt idx="20" formatCode="0.0%">
                  <c:v>6.2500162206001672E-2</c:v>
                </c:pt>
                <c:pt idx="21" formatCode="0.0%">
                  <c:v>6.6385401459853971E-2</c:v>
                </c:pt>
                <c:pt idx="22" formatCode="0.0%">
                  <c:v>7.0293836171938379E-2</c:v>
                </c:pt>
                <c:pt idx="23" formatCode="0.0%">
                  <c:v>7.4225466342254742E-2</c:v>
                </c:pt>
                <c:pt idx="24" formatCode="0.0%">
                  <c:v>7.8180291970802937E-2</c:v>
                </c:pt>
                <c:pt idx="25" formatCode="0.0%">
                  <c:v>8.2158313057583199E-2</c:v>
                </c:pt>
                <c:pt idx="26" formatCode="0.0%">
                  <c:v>8.6159529602595264E-2</c:v>
                </c:pt>
                <c:pt idx="27" formatCode="0.0%">
                  <c:v>9.0183941605839479E-2</c:v>
                </c:pt>
                <c:pt idx="28" formatCode="0.0%">
                  <c:v>9.4231549067315581E-2</c:v>
                </c:pt>
                <c:pt idx="29" formatCode="0.0%">
                  <c:v>9.8302351987023542E-2</c:v>
                </c:pt>
                <c:pt idx="30" formatCode="0.0%">
                  <c:v>0.10239635036496358</c:v>
                </c:pt>
                <c:pt idx="31" formatCode="0.0%">
                  <c:v>0.10651354420113543</c:v>
                </c:pt>
                <c:pt idx="32" formatCode="0.0%">
                  <c:v>0.11065393349553942</c:v>
                </c:pt>
                <c:pt idx="33" formatCode="0.0%">
                  <c:v>0.11481751824817528</c:v>
                </c:pt>
              </c:numCache>
            </c:numRef>
          </c:val>
          <c:extLst>
            <c:ext xmlns:c16="http://schemas.microsoft.com/office/drawing/2014/chart" uri="{C3380CC4-5D6E-409C-BE32-E72D297353CC}">
              <c16:uniqueId val="{00000006-27F5-4098-B992-B1938E83E239}"/>
            </c:ext>
          </c:extLst>
        </c:ser>
        <c:ser>
          <c:idx val="7"/>
          <c:order val="5"/>
          <c:tx>
            <c:strRef>
              <c:f>'Timing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calculations'!$FG$7:$FG$40</c:f>
              <c:numCache>
                <c:formatCode>0.00%</c:formatCode>
                <c:ptCount val="34"/>
                <c:pt idx="0">
                  <c:v>0</c:v>
                </c:pt>
                <c:pt idx="1">
                  <c:v>0</c:v>
                </c:pt>
                <c:pt idx="2">
                  <c:v>0</c:v>
                </c:pt>
                <c:pt idx="3">
                  <c:v>0</c:v>
                </c:pt>
                <c:pt idx="4" formatCode="0.0%">
                  <c:v>1.684428223844281E-3</c:v>
                </c:pt>
                <c:pt idx="5" formatCode="0.0%">
                  <c:v>3.3800486618004843E-3</c:v>
                </c:pt>
                <c:pt idx="6" formatCode="0.0%">
                  <c:v>5.0868613138686106E-3</c:v>
                </c:pt>
                <c:pt idx="7" formatCode="0.0%">
                  <c:v>6.8048661800486588E-3</c:v>
                </c:pt>
                <c:pt idx="8" formatCode="0.0%">
                  <c:v>8.534063260340629E-3</c:v>
                </c:pt>
                <c:pt idx="9" formatCode="0.0%">
                  <c:v>1.0274452554744519E-2</c:v>
                </c:pt>
                <c:pt idx="10" formatCode="0.0%">
                  <c:v>1.2026034063260332E-2</c:v>
                </c:pt>
                <c:pt idx="11" formatCode="0.0%">
                  <c:v>1.378880778588807E-2</c:v>
                </c:pt>
                <c:pt idx="12" formatCode="0.0%">
                  <c:v>1.5562773722627729E-2</c:v>
                </c:pt>
                <c:pt idx="13" formatCode="0.0%">
                  <c:v>1.734793187347931E-2</c:v>
                </c:pt>
                <c:pt idx="14" formatCode="0.0%">
                  <c:v>1.9144282238442809E-2</c:v>
                </c:pt>
                <c:pt idx="15" formatCode="0.0%">
                  <c:v>2.0951824817518238E-2</c:v>
                </c:pt>
                <c:pt idx="16" formatCode="0.0%">
                  <c:v>2.2770559610705583E-2</c:v>
                </c:pt>
                <c:pt idx="17" formatCode="0.0%">
                  <c:v>2.460048661800485E-2</c:v>
                </c:pt>
                <c:pt idx="18" formatCode="0.0%">
                  <c:v>2.6441605839416044E-2</c:v>
                </c:pt>
                <c:pt idx="19" formatCode="0.0%">
                  <c:v>2.829391727493915E-2</c:v>
                </c:pt>
                <c:pt idx="20" formatCode="0.0%">
                  <c:v>3.0157420924574199E-2</c:v>
                </c:pt>
                <c:pt idx="21" formatCode="0.0%">
                  <c:v>3.2032116788321144E-2</c:v>
                </c:pt>
                <c:pt idx="22" formatCode="0.0%">
                  <c:v>3.3918004866180025E-2</c:v>
                </c:pt>
                <c:pt idx="23" formatCode="0.0%">
                  <c:v>3.5815085158150829E-2</c:v>
                </c:pt>
                <c:pt idx="24" formatCode="0.0%">
                  <c:v>3.7723357664233556E-2</c:v>
                </c:pt>
                <c:pt idx="25" formatCode="0.0%">
                  <c:v>3.9642822384428206E-2</c:v>
                </c:pt>
                <c:pt idx="26" formatCode="0.0%">
                  <c:v>4.1573479318734764E-2</c:v>
                </c:pt>
                <c:pt idx="27" formatCode="0.0%">
                  <c:v>4.3515328467153273E-2</c:v>
                </c:pt>
                <c:pt idx="28" formatCode="0.0%">
                  <c:v>4.5468369829683671E-2</c:v>
                </c:pt>
                <c:pt idx="29" formatCode="0.0%">
                  <c:v>4.7432603406326004E-2</c:v>
                </c:pt>
                <c:pt idx="30" formatCode="0.0%">
                  <c:v>4.9408029197080268E-2</c:v>
                </c:pt>
                <c:pt idx="31" formatCode="0.0%">
                  <c:v>5.1394647201946426E-2</c:v>
                </c:pt>
                <c:pt idx="32" formatCode="0.0%">
                  <c:v>5.3392457420924556E-2</c:v>
                </c:pt>
                <c:pt idx="33" formatCode="0.0%">
                  <c:v>5.5401459854014561E-2</c:v>
                </c:pt>
              </c:numCache>
            </c:numRef>
          </c:val>
          <c:extLst>
            <c:ext xmlns:c16="http://schemas.microsoft.com/office/drawing/2014/chart" uri="{C3380CC4-5D6E-409C-BE32-E72D297353CC}">
              <c16:uniqueId val="{00000008-27F5-4098-B992-B1938E83E239}"/>
            </c:ext>
          </c:extLst>
        </c:ser>
        <c:ser>
          <c:idx val="5"/>
          <c:order val="6"/>
          <c:tx>
            <c:strRef>
              <c:f>'Timing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calculations'!$FH$7:$FH$40</c:f>
              <c:numCache>
                <c:formatCode>0.00%</c:formatCode>
                <c:ptCount val="34"/>
                <c:pt idx="0">
                  <c:v>0</c:v>
                </c:pt>
                <c:pt idx="1">
                  <c:v>0</c:v>
                </c:pt>
                <c:pt idx="2">
                  <c:v>0</c:v>
                </c:pt>
                <c:pt idx="3">
                  <c:v>0</c:v>
                </c:pt>
                <c:pt idx="4" formatCode="0.0%">
                  <c:v>4.5149999999999479E-3</c:v>
                </c:pt>
                <c:pt idx="5" formatCode="0.0%">
                  <c:v>9.0600000000000073E-3</c:v>
                </c:pt>
                <c:pt idx="6" formatCode="0.0%">
                  <c:v>1.3634999999999956E-2</c:v>
                </c:pt>
                <c:pt idx="7" formatCode="0.0%">
                  <c:v>1.8240000000000017E-2</c:v>
                </c:pt>
                <c:pt idx="8" formatCode="0.0%">
                  <c:v>2.2874999999999968E-2</c:v>
                </c:pt>
                <c:pt idx="9" formatCode="0.0%">
                  <c:v>2.7540000000000026E-2</c:v>
                </c:pt>
                <c:pt idx="10" formatCode="0.0%">
                  <c:v>3.2234999999999965E-2</c:v>
                </c:pt>
                <c:pt idx="11" formatCode="0.0%">
                  <c:v>3.6960000000000028E-2</c:v>
                </c:pt>
                <c:pt idx="12" formatCode="0.0%">
                  <c:v>4.1714999999999981E-2</c:v>
                </c:pt>
                <c:pt idx="13" formatCode="0.0%">
                  <c:v>4.6500000000000048E-2</c:v>
                </c:pt>
                <c:pt idx="14" formatCode="0.0%">
                  <c:v>5.1314999999999986E-2</c:v>
                </c:pt>
                <c:pt idx="15" formatCode="0.0%">
                  <c:v>5.616000000000005E-2</c:v>
                </c:pt>
                <c:pt idx="16" formatCode="0.0%">
                  <c:v>6.1034999999999992E-2</c:v>
                </c:pt>
                <c:pt idx="17" formatCode="0.0%">
                  <c:v>6.5940000000000054E-2</c:v>
                </c:pt>
                <c:pt idx="18" formatCode="0.0%">
                  <c:v>7.0875000000000007E-2</c:v>
                </c:pt>
                <c:pt idx="19" formatCode="0.0%">
                  <c:v>7.1099999999999983E-2</c:v>
                </c:pt>
                <c:pt idx="20" formatCode="0.0%">
                  <c:v>7.1325000000000013E-2</c:v>
                </c:pt>
                <c:pt idx="21" formatCode="0.0%">
                  <c:v>7.1549999999999989E-2</c:v>
                </c:pt>
                <c:pt idx="22" formatCode="0.0%">
                  <c:v>7.1775000000000005E-2</c:v>
                </c:pt>
                <c:pt idx="23" formatCode="0.0%">
                  <c:v>7.2000000000000008E-2</c:v>
                </c:pt>
                <c:pt idx="24" formatCode="0.0%">
                  <c:v>7.2225000000000011E-2</c:v>
                </c:pt>
                <c:pt idx="25" formatCode="0.0%">
                  <c:v>7.2450000000000014E-2</c:v>
                </c:pt>
                <c:pt idx="26" formatCode="0.0%">
                  <c:v>7.267499999999999E-2</c:v>
                </c:pt>
                <c:pt idx="27" formatCode="0.0%">
                  <c:v>7.290000000000002E-2</c:v>
                </c:pt>
                <c:pt idx="28" formatCode="0.0%">
                  <c:v>7.3124999999999996E-2</c:v>
                </c:pt>
                <c:pt idx="29" formatCode="0.0%">
                  <c:v>7.3349999999999999E-2</c:v>
                </c:pt>
                <c:pt idx="30" formatCode="0.0%">
                  <c:v>7.3575000000000015E-2</c:v>
                </c:pt>
                <c:pt idx="31" formatCode="0.0%">
                  <c:v>7.3799999999999991E-2</c:v>
                </c:pt>
                <c:pt idx="32" formatCode="0.0%">
                  <c:v>7.4025000000000021E-2</c:v>
                </c:pt>
                <c:pt idx="33" formatCode="0.0%">
                  <c:v>7.4249999999999997E-2</c:v>
                </c:pt>
              </c:numCache>
            </c:numRef>
          </c:val>
          <c:extLst>
            <c:ext xmlns:c16="http://schemas.microsoft.com/office/drawing/2014/chart" uri="{C3380CC4-5D6E-409C-BE32-E72D297353CC}">
              <c16:uniqueId val="{0000000A-27F5-4098-B992-B1938E83E239}"/>
            </c:ext>
          </c:extLst>
        </c:ser>
        <c:ser>
          <c:idx val="9"/>
          <c:order val="7"/>
          <c:tx>
            <c:strRef>
              <c:f>'Timing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8.798076923077345E-4</c:v>
                </c:pt>
                <c:pt idx="9" formatCode="0.0%">
                  <c:v>1.7653846153845864E-3</c:v>
                </c:pt>
                <c:pt idx="10" formatCode="0.0%">
                  <c:v>2.6567307692307823E-3</c:v>
                </c:pt>
                <c:pt idx="11" formatCode="0.0%">
                  <c:v>3.5538461538462095E-3</c:v>
                </c:pt>
                <c:pt idx="12" formatCode="0.0%">
                  <c:v>4.4567307692307536E-3</c:v>
                </c:pt>
                <c:pt idx="13" formatCode="0.0%">
                  <c:v>5.3653846153846425E-3</c:v>
                </c:pt>
                <c:pt idx="14" formatCode="0.0%">
                  <c:v>6.2798076923076471E-3</c:v>
                </c:pt>
                <c:pt idx="15" formatCode="0.0%">
                  <c:v>7.1999999999999981E-3</c:v>
                </c:pt>
                <c:pt idx="16" formatCode="0.0%">
                  <c:v>8.1259615384615784E-3</c:v>
                </c:pt>
                <c:pt idx="17" formatCode="0.0%">
                  <c:v>9.0576923076922753E-3</c:v>
                </c:pt>
                <c:pt idx="18" formatCode="0.0%">
                  <c:v>9.9951923076923195E-3</c:v>
                </c:pt>
                <c:pt idx="19" formatCode="0.0%">
                  <c:v>1.093846153846159E-2</c:v>
                </c:pt>
                <c:pt idx="20" formatCode="0.0%">
                  <c:v>1.1887499999999983E-2</c:v>
                </c:pt>
                <c:pt idx="21" formatCode="0.0%">
                  <c:v>1.2842307692307715E-2</c:v>
                </c:pt>
                <c:pt idx="22" formatCode="0.0%">
                  <c:v>1.3802884615384566E-2</c:v>
                </c:pt>
                <c:pt idx="23" formatCode="0.0%">
                  <c:v>1.4769230769230764E-2</c:v>
                </c:pt>
                <c:pt idx="24" formatCode="0.0%">
                  <c:v>1.5741346153846193E-2</c:v>
                </c:pt>
                <c:pt idx="25" formatCode="0.0%">
                  <c:v>1.6719230769230736E-2</c:v>
                </c:pt>
                <c:pt idx="26" formatCode="0.0%">
                  <c:v>1.770288461538462E-2</c:v>
                </c:pt>
                <c:pt idx="27" formatCode="0.0%">
                  <c:v>1.8692307692307751E-2</c:v>
                </c:pt>
                <c:pt idx="28" formatCode="0.0%">
                  <c:v>1.9687499999999976E-2</c:v>
                </c:pt>
                <c:pt idx="29" formatCode="0.0%">
                  <c:v>2.0688461538461562E-2</c:v>
                </c:pt>
                <c:pt idx="30" formatCode="0.0%">
                  <c:v>2.1695192307692256E-2</c:v>
                </c:pt>
                <c:pt idx="31" formatCode="0.0%">
                  <c:v>2.2707692307692293E-2</c:v>
                </c:pt>
                <c:pt idx="32" formatCode="0.0%">
                  <c:v>2.3725961538461581E-2</c:v>
                </c:pt>
                <c:pt idx="33" formatCode="0.0%">
                  <c:v>2.474999999999996E-2</c:v>
                </c:pt>
              </c:numCache>
            </c:numRef>
          </c:val>
          <c:extLst>
            <c:ext xmlns:c16="http://schemas.microsoft.com/office/drawing/2014/chart" uri="{C3380CC4-5D6E-409C-BE32-E72D297353CC}">
              <c16:uniqueId val="{0000000C-27F5-4098-B992-B1938E83E239}"/>
            </c:ext>
          </c:extLst>
        </c:ser>
        <c:ser>
          <c:idx val="6"/>
          <c:order val="8"/>
          <c:tx>
            <c:strRef>
              <c:f>'Timing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calculations'!$FJ$7:$FJ$40</c:f>
              <c:numCache>
                <c:formatCode>0.00%</c:formatCode>
                <c:ptCount val="34"/>
                <c:pt idx="0">
                  <c:v>0</c:v>
                </c:pt>
                <c:pt idx="1">
                  <c:v>0</c:v>
                </c:pt>
                <c:pt idx="2">
                  <c:v>0</c:v>
                </c:pt>
                <c:pt idx="3">
                  <c:v>0</c:v>
                </c:pt>
                <c:pt idx="4" formatCode="0.0%">
                  <c:v>0</c:v>
                </c:pt>
                <c:pt idx="5" formatCode="0.0%">
                  <c:v>0</c:v>
                </c:pt>
                <c:pt idx="6" formatCode="0.0%">
                  <c:v>2.524999999999722E-4</c:v>
                </c:pt>
                <c:pt idx="7" formatCode="0.0%">
                  <c:v>5.0666666666661093E-4</c:v>
                </c:pt>
                <c:pt idx="8" formatCode="0.0%">
                  <c:v>7.62500000000029E-4</c:v>
                </c:pt>
                <c:pt idx="9" formatCode="0.0%">
                  <c:v>1.0200000000000009E-3</c:v>
                </c:pt>
                <c:pt idx="10" formatCode="0.0%">
                  <c:v>1.2791666666666392E-3</c:v>
                </c:pt>
                <c:pt idx="11" formatCode="0.0%">
                  <c:v>1.5399999999999444E-3</c:v>
                </c:pt>
                <c:pt idx="12" formatCode="0.0%">
                  <c:v>1.8025000000000302E-3</c:v>
                </c:pt>
                <c:pt idx="13" formatCode="0.0%">
                  <c:v>2.0666666666666689E-3</c:v>
                </c:pt>
                <c:pt idx="14" formatCode="0.0%">
                  <c:v>2.332499999999973E-3</c:v>
                </c:pt>
                <c:pt idx="15" formatCode="0.0%">
                  <c:v>2.5999999999999448E-3</c:v>
                </c:pt>
                <c:pt idx="16" formatCode="0.0%">
                  <c:v>2.8691666666666978E-3</c:v>
                </c:pt>
                <c:pt idx="17" formatCode="0.0%">
                  <c:v>3.1400000000000026E-3</c:v>
                </c:pt>
                <c:pt idx="18" formatCode="0.0%">
                  <c:v>3.4124999999999741E-3</c:v>
                </c:pt>
                <c:pt idx="19" formatCode="0.0%">
                  <c:v>3.6866666666666103E-3</c:v>
                </c:pt>
                <c:pt idx="20" formatCode="0.0%">
                  <c:v>3.9625000000000337E-3</c:v>
                </c:pt>
                <c:pt idx="21" formatCode="0.0%">
                  <c:v>4.2400000000000033E-3</c:v>
                </c:pt>
                <c:pt idx="22" formatCode="0.0%">
                  <c:v>4.519166666666641E-3</c:v>
                </c:pt>
                <c:pt idx="23" formatCode="0.0%">
                  <c:v>4.7999999999999449E-3</c:v>
                </c:pt>
                <c:pt idx="24" formatCode="0.0%">
                  <c:v>5.0825000000000349E-3</c:v>
                </c:pt>
                <c:pt idx="25" formatCode="0.0%">
                  <c:v>5.3666666666666724E-3</c:v>
                </c:pt>
                <c:pt idx="26" formatCode="0.0%">
                  <c:v>5.6524999999999735E-3</c:v>
                </c:pt>
                <c:pt idx="27" formatCode="0.0%">
                  <c:v>5.9399999999999471E-3</c:v>
                </c:pt>
                <c:pt idx="28" formatCode="0.0%">
                  <c:v>6.2291666666667023E-3</c:v>
                </c:pt>
                <c:pt idx="29" formatCode="0.0%">
                  <c:v>6.5200000000000058E-3</c:v>
                </c:pt>
                <c:pt idx="30" formatCode="0.0%">
                  <c:v>6.8124999999999766E-3</c:v>
                </c:pt>
                <c:pt idx="31" formatCode="0.0%">
                  <c:v>7.1066666666666101E-3</c:v>
                </c:pt>
                <c:pt idx="32" formatCode="0.0%">
                  <c:v>7.4025000000000384E-3</c:v>
                </c:pt>
                <c:pt idx="33" formatCode="0.0%">
                  <c:v>7.7000000000000063E-3</c:v>
                </c:pt>
              </c:numCache>
            </c:numRef>
          </c:val>
          <c:extLst>
            <c:ext xmlns:c16="http://schemas.microsoft.com/office/drawing/2014/chart" uri="{C3380CC4-5D6E-409C-BE32-E72D297353CC}">
              <c16:uniqueId val="{0000000D-27F5-4098-B992-B1938E83E239}"/>
            </c:ext>
          </c:extLst>
        </c:ser>
        <c:ser>
          <c:idx val="3"/>
          <c:order val="9"/>
          <c:tx>
            <c:strRef>
              <c:f>'Timing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calculations'!$FK$7:$FK$40</c:f>
              <c:numCache>
                <c:formatCode>0.00%</c:formatCode>
                <c:ptCount val="34"/>
                <c:pt idx="0">
                  <c:v>0</c:v>
                </c:pt>
                <c:pt idx="1">
                  <c:v>0</c:v>
                </c:pt>
                <c:pt idx="2">
                  <c:v>0</c:v>
                </c:pt>
                <c:pt idx="3">
                  <c:v>0</c:v>
                </c:pt>
                <c:pt idx="4" formatCode="0.0%">
                  <c:v>9.6319999999996064E-4</c:v>
                </c:pt>
                <c:pt idx="5" formatCode="0.0%">
                  <c:v>1.9328000000000329E-3</c:v>
                </c:pt>
                <c:pt idx="6" formatCode="0.0%">
                  <c:v>2.9087999999999935E-3</c:v>
                </c:pt>
                <c:pt idx="7" formatCode="0.0%">
                  <c:v>3.8911999999999541E-3</c:v>
                </c:pt>
                <c:pt idx="8" formatCode="0.0%">
                  <c:v>4.8800000000000275E-3</c:v>
                </c:pt>
                <c:pt idx="9" formatCode="0.0%">
                  <c:v>5.8751999999999876E-3</c:v>
                </c:pt>
                <c:pt idx="10" formatCode="0.0%">
                  <c:v>6.876799999999946E-3</c:v>
                </c:pt>
                <c:pt idx="11" formatCode="0.0%">
                  <c:v>7.8848000000000199E-3</c:v>
                </c:pt>
                <c:pt idx="12" formatCode="0.0%">
                  <c:v>8.8991999999999804E-3</c:v>
                </c:pt>
                <c:pt idx="13" formatCode="0.0%">
                  <c:v>9.9200000000000555E-3</c:v>
                </c:pt>
                <c:pt idx="14" formatCode="0.0%">
                  <c:v>1.0947200000000015E-2</c:v>
                </c:pt>
                <c:pt idx="15" formatCode="0.0%">
                  <c:v>1.1980799999999974E-2</c:v>
                </c:pt>
                <c:pt idx="16" formatCode="0.0%">
                  <c:v>1.3020800000000048E-2</c:v>
                </c:pt>
                <c:pt idx="17" formatCode="0.0%">
                  <c:v>1.4067200000000007E-2</c:v>
                </c:pt>
                <c:pt idx="18" formatCode="0.0%">
                  <c:v>1.5119999999999967E-2</c:v>
                </c:pt>
                <c:pt idx="19" formatCode="0.0%">
                  <c:v>1.6179200000000036E-2</c:v>
                </c:pt>
                <c:pt idx="20" formatCode="0.0%">
                  <c:v>1.7244800000000005E-2</c:v>
                </c:pt>
                <c:pt idx="21" formatCode="0.0%">
                  <c:v>1.8316799999999956E-2</c:v>
                </c:pt>
                <c:pt idx="22" formatCode="0.0%">
                  <c:v>1.9395200000000036E-2</c:v>
                </c:pt>
                <c:pt idx="23" formatCode="0.0%">
                  <c:v>2.0479999999999995E-2</c:v>
                </c:pt>
                <c:pt idx="24" formatCode="0.0%">
                  <c:v>2.1571199999999954E-2</c:v>
                </c:pt>
                <c:pt idx="25" formatCode="0.0%">
                  <c:v>2.2668800000000034E-2</c:v>
                </c:pt>
                <c:pt idx="26" formatCode="0.0%">
                  <c:v>2.3772799999999983E-2</c:v>
                </c:pt>
                <c:pt idx="27" formatCode="0.0%">
                  <c:v>2.4883199999999953E-2</c:v>
                </c:pt>
                <c:pt idx="28" formatCode="0.0%">
                  <c:v>2.600000000000002E-2</c:v>
                </c:pt>
                <c:pt idx="29" formatCode="0.0%">
                  <c:v>2.7123199999999979E-2</c:v>
                </c:pt>
                <c:pt idx="30" formatCode="0.0%">
                  <c:v>2.8252799999999939E-2</c:v>
                </c:pt>
                <c:pt idx="31" formatCode="0.0%">
                  <c:v>2.938880000000001E-2</c:v>
                </c:pt>
                <c:pt idx="32" formatCode="0.0%">
                  <c:v>3.0531199999999981E-2</c:v>
                </c:pt>
                <c:pt idx="33" formatCode="0.0%">
                  <c:v>3.1679999999999923E-2</c:v>
                </c:pt>
              </c:numCache>
            </c:numRef>
          </c:val>
          <c:extLst>
            <c:ext xmlns:c16="http://schemas.microsoft.com/office/drawing/2014/chart" uri="{C3380CC4-5D6E-409C-BE32-E72D297353CC}">
              <c16:uniqueId val="{0000000F-27F5-4098-B992-B1938E83E239}"/>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4-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5-27F5-4098-B992-B1938E83E239}"/>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1-27F5-4098-B992-B1938E83E239}"/>
              </c:ext>
            </c:extLst>
          </c:dPt>
          <c:dLbls>
            <c:dLbl>
              <c:idx val="3"/>
              <c:layout>
                <c:manualLayout>
                  <c:x val="-3.8336574324970514E-2"/>
                  <c:y val="0.33127695994522421"/>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136446810545443"/>
                      <c:h val="2.9978363574118455E-2"/>
                    </c:manualLayout>
                  </c15:layout>
                </c:ext>
                <c:ext xmlns:c16="http://schemas.microsoft.com/office/drawing/2014/chart" uri="{C3380CC4-5D6E-409C-BE32-E72D297353CC}">
                  <c16:uniqueId val="{00000011-27F5-4098-B992-B1938E83E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12-27F5-4098-B992-B1938E83E239}"/>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13-27F5-4098-B992-B1938E83E239}"/>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cap="none" spc="20" baseline="0">
                <a:solidFill>
                  <a:schemeClr val="dk1">
                    <a:lumMod val="50000"/>
                    <a:lumOff val="50000"/>
                  </a:schemeClr>
                </a:solidFill>
                <a:latin typeface="+mn-lt"/>
                <a:ea typeface="+mn-ea"/>
                <a:cs typeface="+mn-cs"/>
              </a:defRPr>
            </a:pPr>
            <a:r>
              <a:rPr lang="en-GB"/>
              <a:t>Cumulative carbon emissions</a:t>
            </a:r>
          </a:p>
        </c:rich>
      </c:tx>
      <c:overlay val="0"/>
      <c:spPr>
        <a:noFill/>
        <a:ln>
          <a:noFill/>
        </a:ln>
        <a:effectLst/>
      </c:spPr>
      <c:txPr>
        <a:bodyPr rot="0" spcFirstLastPara="1" vertOverflow="ellipsis" vert="horz" wrap="square" anchor="ctr" anchorCtr="1"/>
        <a:lstStyle/>
        <a:p>
          <a:pPr>
            <a:defRPr sz="192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tx>
            <c:strRef>
              <c:f>'Timing calculations'!$JA$7</c:f>
              <c:strCache>
                <c:ptCount val="1"/>
                <c:pt idx="0">
                  <c:v>Cumulative emissions estimated for selected policy mix </c:v>
                </c:pt>
              </c:strCache>
            </c:strRef>
          </c:tx>
          <c:spPr>
            <a:ln w="31750" cap="rnd" cmpd="sng" algn="ctr">
              <a:solidFill>
                <a:schemeClr val="accent1"/>
              </a:solidFill>
              <a:round/>
            </a:ln>
            <a:effectLst/>
          </c:spPr>
          <c:marker>
            <c:symbol val="none"/>
          </c:marker>
          <c:cat>
            <c:numRef>
              <c:f>'Timing calculations'!$IY$10:$IY$40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'Timing calculations'!$JA$10:$JA$40</c:f>
              <c:numCache>
                <c:formatCode>0.0</c:formatCode>
                <c:ptCount val="31"/>
                <c:pt idx="0">
                  <c:v>1</c:v>
                </c:pt>
                <c:pt idx="1">
                  <c:v>1.9697554725643363</c:v>
                </c:pt>
                <c:pt idx="2">
                  <c:v>2.9090421432786204</c:v>
                </c:pt>
                <c:pt idx="3">
                  <c:v>3.8111708289603099</c:v>
                </c:pt>
                <c:pt idx="4">
                  <c:v>4.6752752629333587</c:v>
                </c:pt>
                <c:pt idx="5">
                  <c:v>5.4995571508232715</c:v>
                </c:pt>
                <c:pt idx="6">
                  <c:v>6.2831323244032609</c:v>
                </c:pt>
                <c:pt idx="7">
                  <c:v>7.0251107011084155</c:v>
                </c:pt>
                <c:pt idx="8">
                  <c:v>7.7245962840356999</c:v>
                </c:pt>
                <c:pt idx="9">
                  <c:v>8.3806871619439569</c:v>
                </c:pt>
                <c:pt idx="10">
                  <c:v>8.9924755092539037</c:v>
                </c:pt>
                <c:pt idx="11">
                  <c:v>9.5590475860481359</c:v>
                </c:pt>
                <c:pt idx="12">
                  <c:v>10.079483738071124</c:v>
                </c:pt>
                <c:pt idx="13">
                  <c:v>10.552858396729214</c:v>
                </c:pt>
                <c:pt idx="14">
                  <c:v>10.978240079090629</c:v>
                </c:pt>
                <c:pt idx="15">
                  <c:v>11.35469138788547</c:v>
                </c:pt>
                <c:pt idx="16">
                  <c:v>11.704387310903845</c:v>
                </c:pt>
                <c:pt idx="17">
                  <c:v>12.026524940550228</c:v>
                </c:pt>
                <c:pt idx="18">
                  <c:v>12.325863900711402</c:v>
                </c:pt>
                <c:pt idx="19">
                  <c:v>12.601624476787419</c:v>
                </c:pt>
                <c:pt idx="20">
                  <c:v>12.853021039840215</c:v>
                </c:pt>
                <c:pt idx="21">
                  <c:v>13.090400742347963</c:v>
                </c:pt>
                <c:pt idx="22">
                  <c:v>13.314798030127978</c:v>
                </c:pt>
                <c:pt idx="23">
                  <c:v>13.526126655499121</c:v>
                </c:pt>
                <c:pt idx="24">
                  <c:v>13.724300370780249</c:v>
                </c:pt>
                <c:pt idx="25">
                  <c:v>13.909232928290219</c:v>
                </c:pt>
                <c:pt idx="26">
                  <c:v>14.080838080347892</c:v>
                </c:pt>
                <c:pt idx="27">
                  <c:v>14.239029579272128</c:v>
                </c:pt>
                <c:pt idx="28">
                  <c:v>14.383721177381782</c:v>
                </c:pt>
                <c:pt idx="29">
                  <c:v>14.514826626995713</c:v>
                </c:pt>
              </c:numCache>
            </c:numRef>
          </c:val>
          <c:smooth val="0"/>
          <c:extLst>
            <c:ext xmlns:c16="http://schemas.microsoft.com/office/drawing/2014/chart" uri="{C3380CC4-5D6E-409C-BE32-E72D297353CC}">
              <c16:uniqueId val="{00000000-8688-4D68-9AE7-E5CF3491990D}"/>
            </c:ext>
          </c:extLst>
        </c:ser>
        <c:ser>
          <c:idx val="1"/>
          <c:order val="1"/>
          <c:tx>
            <c:strRef>
              <c:f>'Timing calculations'!$JC$7</c:f>
              <c:strCache>
                <c:ptCount val="1"/>
                <c:pt idx="0">
                  <c:v>Cumulative emissions based on 2020 levels with no improvement (do nothing scenario)</c:v>
                </c:pt>
              </c:strCache>
            </c:strRef>
          </c:tx>
          <c:spPr>
            <a:ln w="22225" cap="rnd" cmpd="sng" algn="ctr">
              <a:solidFill>
                <a:schemeClr val="accent2"/>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8688-4D68-9AE7-E5CF3491990D}"/>
                </c:ext>
              </c:extLst>
            </c:dLbl>
            <c:dLbl>
              <c:idx val="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88-4D68-9AE7-E5CF3491990D}"/>
                </c:ext>
              </c:extLst>
            </c:dLbl>
            <c:dLbl>
              <c:idx val="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88-4D68-9AE7-E5CF3491990D}"/>
                </c:ext>
              </c:extLst>
            </c:dLbl>
            <c:dLbl>
              <c:idx val="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88-4D68-9AE7-E5CF3491990D}"/>
                </c:ext>
              </c:extLst>
            </c:dLbl>
            <c:dLbl>
              <c:idx val="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88-4D68-9AE7-E5CF3491990D}"/>
                </c:ext>
              </c:extLst>
            </c:dLbl>
            <c:dLbl>
              <c:idx val="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88-4D68-9AE7-E5CF3491990D}"/>
                </c:ext>
              </c:extLst>
            </c:dLbl>
            <c:dLbl>
              <c:idx val="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88-4D68-9AE7-E5CF3491990D}"/>
                </c:ext>
              </c:extLst>
            </c:dLbl>
            <c:dLbl>
              <c:idx val="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88-4D68-9AE7-E5CF3491990D}"/>
                </c:ext>
              </c:extLst>
            </c:dLbl>
            <c:dLbl>
              <c:idx val="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88-4D68-9AE7-E5CF3491990D}"/>
                </c:ext>
              </c:extLst>
            </c:dLbl>
            <c:dLbl>
              <c:idx val="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88-4D68-9AE7-E5CF3491990D}"/>
                </c:ext>
              </c:extLst>
            </c:dLbl>
            <c:dLbl>
              <c:idx val="1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88-4D68-9AE7-E5CF3491990D}"/>
                </c:ext>
              </c:extLst>
            </c:dLbl>
            <c:dLbl>
              <c:idx val="1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88-4D68-9AE7-E5CF3491990D}"/>
                </c:ext>
              </c:extLst>
            </c:dLbl>
            <c:dLbl>
              <c:idx val="1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88-4D68-9AE7-E5CF3491990D}"/>
                </c:ext>
              </c:extLst>
            </c:dLbl>
            <c:dLbl>
              <c:idx val="1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88-4D68-9AE7-E5CF3491990D}"/>
                </c:ext>
              </c:extLst>
            </c:dLbl>
            <c:dLbl>
              <c:idx val="1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88-4D68-9AE7-E5CF3491990D}"/>
                </c:ext>
              </c:extLst>
            </c:dLbl>
            <c:dLbl>
              <c:idx val="1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88-4D68-9AE7-E5CF3491990D}"/>
                </c:ext>
              </c:extLst>
            </c:dLbl>
            <c:dLbl>
              <c:idx val="1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88-4D68-9AE7-E5CF3491990D}"/>
                </c:ext>
              </c:extLst>
            </c:dLbl>
            <c:dLbl>
              <c:idx val="1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688-4D68-9AE7-E5CF3491990D}"/>
                </c:ext>
              </c:extLst>
            </c:dLbl>
            <c:dLbl>
              <c:idx val="1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688-4D68-9AE7-E5CF3491990D}"/>
                </c:ext>
              </c:extLst>
            </c:dLbl>
            <c:dLbl>
              <c:idx val="1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688-4D68-9AE7-E5CF3491990D}"/>
                </c:ext>
              </c:extLst>
            </c:dLbl>
            <c:dLbl>
              <c:idx val="2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688-4D68-9AE7-E5CF3491990D}"/>
                </c:ext>
              </c:extLst>
            </c:dLbl>
            <c:dLbl>
              <c:idx val="2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688-4D68-9AE7-E5CF3491990D}"/>
                </c:ext>
              </c:extLst>
            </c:dLbl>
            <c:dLbl>
              <c:idx val="2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688-4D68-9AE7-E5CF3491990D}"/>
                </c:ext>
              </c:extLst>
            </c:dLbl>
            <c:dLbl>
              <c:idx val="2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688-4D68-9AE7-E5CF3491990D}"/>
                </c:ext>
              </c:extLst>
            </c:dLbl>
            <c:dLbl>
              <c:idx val="2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688-4D68-9AE7-E5CF3491990D}"/>
                </c:ext>
              </c:extLst>
            </c:dLbl>
            <c:dLbl>
              <c:idx val="2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688-4D68-9AE7-E5CF3491990D}"/>
                </c:ext>
              </c:extLst>
            </c:dLbl>
            <c:dLbl>
              <c:idx val="2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688-4D68-9AE7-E5CF3491990D}"/>
                </c:ext>
              </c:extLst>
            </c:dLbl>
            <c:dLbl>
              <c:idx val="2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688-4D68-9AE7-E5CF3491990D}"/>
                </c:ext>
              </c:extLst>
            </c:dLbl>
            <c:dLbl>
              <c:idx val="2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688-4D68-9AE7-E5CF3491990D}"/>
                </c:ext>
              </c:extLst>
            </c:dLbl>
            <c:dLbl>
              <c:idx val="2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688-4D68-9AE7-E5CF3491990D}"/>
                </c:ext>
              </c:extLst>
            </c:dLbl>
            <c:dLbl>
              <c:idx val="3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688-4D68-9AE7-E5CF3491990D}"/>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dk1">
                          <a:lumMod val="35000"/>
                          <a:lumOff val="65000"/>
                        </a:schemeClr>
                      </a:solidFill>
                    </a:ln>
                    <a:effectLst/>
                  </c:spPr>
                </c15:leaderLines>
              </c:ext>
            </c:extLst>
          </c:dLbls>
          <c:cat>
            <c:numRef>
              <c:f>'Timing calculations'!$IY$10:$IY$40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'Timing calculations'!$JC$10:$JC$40</c:f>
              <c:numCache>
                <c:formatCode>0.0</c:formatCode>
                <c:ptCount val="31"/>
                <c:pt idx="0">
                  <c:v>1</c:v>
                </c:pt>
                <c:pt idx="1">
                  <c:v>2.0035087719298246</c:v>
                </c:pt>
                <c:pt idx="2">
                  <c:v>3.0105263157894737</c:v>
                </c:pt>
                <c:pt idx="3">
                  <c:v>4.0210526315789474</c:v>
                </c:pt>
                <c:pt idx="4">
                  <c:v>5.0350877192982457</c:v>
                </c:pt>
                <c:pt idx="5">
                  <c:v>6.052631578947369</c:v>
                </c:pt>
                <c:pt idx="6">
                  <c:v>7.0736842105263156</c:v>
                </c:pt>
                <c:pt idx="7">
                  <c:v>8.098245614035088</c:v>
                </c:pt>
                <c:pt idx="8">
                  <c:v>9.1263157894736846</c:v>
                </c:pt>
                <c:pt idx="9">
                  <c:v>10.157894736842106</c:v>
                </c:pt>
                <c:pt idx="10">
                  <c:v>11.192982456140351</c:v>
                </c:pt>
                <c:pt idx="11">
                  <c:v>12.231578947368421</c:v>
                </c:pt>
                <c:pt idx="12">
                  <c:v>13.273684210526316</c:v>
                </c:pt>
                <c:pt idx="13">
                  <c:v>14.319298245614036</c:v>
                </c:pt>
                <c:pt idx="14">
                  <c:v>15.368421052631579</c:v>
                </c:pt>
                <c:pt idx="15">
                  <c:v>16.421052631578949</c:v>
                </c:pt>
                <c:pt idx="16">
                  <c:v>17.477192982456138</c:v>
                </c:pt>
                <c:pt idx="17">
                  <c:v>18.536842105263158</c:v>
                </c:pt>
                <c:pt idx="18">
                  <c:v>19.600000000000001</c:v>
                </c:pt>
                <c:pt idx="19">
                  <c:v>20.666666666666668</c:v>
                </c:pt>
                <c:pt idx="20">
                  <c:v>21.736842105263158</c:v>
                </c:pt>
                <c:pt idx="21">
                  <c:v>22.810526315789474</c:v>
                </c:pt>
                <c:pt idx="22">
                  <c:v>23.887719298245614</c:v>
                </c:pt>
                <c:pt idx="23">
                  <c:v>24.96842105263158</c:v>
                </c:pt>
                <c:pt idx="24">
                  <c:v>26.05263157894737</c:v>
                </c:pt>
                <c:pt idx="25">
                  <c:v>27.140350877192983</c:v>
                </c:pt>
                <c:pt idx="26">
                  <c:v>28.231578947368419</c:v>
                </c:pt>
                <c:pt idx="27">
                  <c:v>29.326315789473682</c:v>
                </c:pt>
                <c:pt idx="28">
                  <c:v>30.424561403508768</c:v>
                </c:pt>
                <c:pt idx="29">
                  <c:v>31.526315789473681</c:v>
                </c:pt>
              </c:numCache>
            </c:numRef>
          </c:val>
          <c:smooth val="0"/>
          <c:extLst>
            <c:ext xmlns:c16="http://schemas.microsoft.com/office/drawing/2014/chart" uri="{C3380CC4-5D6E-409C-BE32-E72D297353CC}">
              <c16:uniqueId val="{00000020-8688-4D68-9AE7-E5CF3491990D}"/>
            </c:ext>
          </c:extLst>
        </c:ser>
        <c:ser>
          <c:idx val="2"/>
          <c:order val="2"/>
          <c:tx>
            <c:strRef>
              <c:f>'Timing calculations'!$JE$7</c:f>
              <c:strCache>
                <c:ptCount val="1"/>
                <c:pt idx="0">
                  <c:v>Cumulative emissions target to remain within 1.5 degrees celcius temperature rise</c:v>
                </c:pt>
              </c:strCache>
            </c:strRef>
          </c:tx>
          <c:spPr>
            <a:ln w="28575" cap="rnd" cmpd="sng" algn="ctr">
              <a:solidFill>
                <a:schemeClr val="accent6"/>
              </a:solidFill>
              <a:prstDash val="dash"/>
              <a:round/>
            </a:ln>
            <a:effectLst/>
          </c:spPr>
          <c:marker>
            <c:symbol val="none"/>
          </c:marker>
          <c:val>
            <c:numRef>
              <c:f>'Timing calculations'!$JF$10:$JF$40</c:f>
              <c:numCache>
                <c:formatCode>0.0</c:formatCode>
                <c:ptCount val="31"/>
                <c:pt idx="0">
                  <c:v>1</c:v>
                </c:pt>
                <c:pt idx="1">
                  <c:v>1.9473684210526316</c:v>
                </c:pt>
                <c:pt idx="2">
                  <c:v>2.8421052631578947</c:v>
                </c:pt>
                <c:pt idx="3">
                  <c:v>3.6842105263157894</c:v>
                </c:pt>
                <c:pt idx="4">
                  <c:v>4.473684210526315</c:v>
                </c:pt>
                <c:pt idx="5">
                  <c:v>5.2105263157894735</c:v>
                </c:pt>
                <c:pt idx="6">
                  <c:v>5.8947368421052619</c:v>
                </c:pt>
                <c:pt idx="7">
                  <c:v>6.5263157894736832</c:v>
                </c:pt>
                <c:pt idx="8">
                  <c:v>7.1052631578947354</c:v>
                </c:pt>
                <c:pt idx="9">
                  <c:v>7.6315789473684195</c:v>
                </c:pt>
                <c:pt idx="10">
                  <c:v>8.1052631578947345</c:v>
                </c:pt>
                <c:pt idx="11">
                  <c:v>8.5605263157894704</c:v>
                </c:pt>
                <c:pt idx="12">
                  <c:v>8.9973684210526272</c:v>
                </c:pt>
                <c:pt idx="13">
                  <c:v>9.4157894736842049</c:v>
                </c:pt>
                <c:pt idx="14">
                  <c:v>9.8157894736842053</c:v>
                </c:pt>
                <c:pt idx="15">
                  <c:v>10.197368421052625</c:v>
                </c:pt>
                <c:pt idx="16">
                  <c:v>10.560526315789467</c:v>
                </c:pt>
                <c:pt idx="17">
                  <c:v>10.905263157894732</c:v>
                </c:pt>
                <c:pt idx="18">
                  <c:v>11.231578947368416</c:v>
                </c:pt>
                <c:pt idx="19">
                  <c:v>11.539473684210522</c:v>
                </c:pt>
                <c:pt idx="20">
                  <c:v>11.828947368421048</c:v>
                </c:pt>
                <c:pt idx="21">
                  <c:v>12.099999999999996</c:v>
                </c:pt>
                <c:pt idx="22">
                  <c:v>12.352631578947365</c:v>
                </c:pt>
                <c:pt idx="23">
                  <c:v>12.586842105263154</c:v>
                </c:pt>
                <c:pt idx="24">
                  <c:v>12.802631578947365</c:v>
                </c:pt>
                <c:pt idx="25">
                  <c:v>12.999999999999996</c:v>
                </c:pt>
                <c:pt idx="26">
                  <c:v>13.178947368421049</c:v>
                </c:pt>
                <c:pt idx="27">
                  <c:v>13.339473684210523</c:v>
                </c:pt>
                <c:pt idx="28">
                  <c:v>13.481578947368417</c:v>
                </c:pt>
                <c:pt idx="29">
                  <c:v>13.605263157894733</c:v>
                </c:pt>
              </c:numCache>
            </c:numRef>
          </c:val>
          <c:smooth val="0"/>
          <c:extLst>
            <c:ext xmlns:c16="http://schemas.microsoft.com/office/drawing/2014/chart" uri="{C3380CC4-5D6E-409C-BE32-E72D297353CC}">
              <c16:uniqueId val="{00000021-8688-4D68-9AE7-E5CF3491990D}"/>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22927664"/>
        <c:axId val="622923728"/>
      </c:lineChart>
      <c:catAx>
        <c:axId val="622927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3728"/>
        <c:crosses val="autoZero"/>
        <c:auto val="1"/>
        <c:lblAlgn val="ctr"/>
        <c:lblOffset val="100"/>
        <c:noMultiLvlLbl val="0"/>
      </c:catAx>
      <c:valAx>
        <c:axId val="622923728"/>
        <c:scaling>
          <c:orientation val="minMax"/>
        </c:scaling>
        <c:delete val="0"/>
        <c:axPos val="l"/>
        <c:title>
          <c:tx>
            <c:rich>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r>
                  <a:rPr lang="en-US"/>
                  <a:t>Cumulative carbon emissions: Index 1=2020 </a:t>
                </a:r>
              </a:p>
            </c:rich>
          </c:tx>
          <c:overlay val="0"/>
          <c:spPr>
            <a:noFill/>
            <a:ln>
              <a:noFill/>
            </a:ln>
            <a:effectLst/>
          </c:spPr>
          <c:txPr>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spc="20" baseline="0">
                <a:solidFill>
                  <a:schemeClr val="dk1">
                    <a:lumMod val="65000"/>
                    <a:lumOff val="35000"/>
                  </a:schemeClr>
                </a:solidFill>
                <a:latin typeface="+mn-lt"/>
                <a:ea typeface="+mn-ea"/>
                <a:cs typeface="+mn-cs"/>
              </a:defRPr>
            </a:pPr>
            <a:endParaRPr lang="en-US"/>
          </a:p>
        </c:txPr>
        <c:crossAx val="62292766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'Timing calculations'!$FA$122</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calculations'!$FA$123:$FA$156</c:f>
              <c:numCache>
                <c:formatCode>0.00%</c:formatCode>
                <c:ptCount val="34"/>
                <c:pt idx="0">
                  <c:v>1</c:v>
                </c:pt>
                <c:pt idx="1">
                  <c:v>0.98333333333333328</c:v>
                </c:pt>
                <c:pt idx="2">
                  <c:v>0.96666666666666656</c:v>
                </c:pt>
                <c:pt idx="3">
                  <c:v>0.95</c:v>
                </c:pt>
                <c:pt idx="4">
                  <c:v>0.92126769893611948</c:v>
                </c:pt>
                <c:pt idx="5">
                  <c:v>0.89232233717856968</c:v>
                </c:pt>
                <c:pt idx="6">
                  <c:v>0.85702225139760491</c:v>
                </c:pt>
                <c:pt idx="7">
                  <c:v>0.82089921227439566</c:v>
                </c:pt>
                <c:pt idx="8">
                  <c:v>0.78306779349541678</c:v>
                </c:pt>
                <c:pt idx="9">
                  <c:v>0.74439641490098984</c:v>
                </c:pt>
                <c:pt idx="10">
                  <c:v>0.70487945786989703</c:v>
                </c:pt>
                <c:pt idx="11">
                  <c:v>0.66451130378092094</c:v>
                </c:pt>
                <c:pt idx="12">
                  <c:v>0.62328633401284472</c:v>
                </c:pt>
                <c:pt idx="13">
                  <c:v>0.58119892994444988</c:v>
                </c:pt>
                <c:pt idx="14">
                  <c:v>0.53824347295452046</c:v>
                </c:pt>
                <c:pt idx="15">
                  <c:v>0.49441434442183796</c:v>
                </c:pt>
                <c:pt idx="16">
                  <c:v>0.44970592572518509</c:v>
                </c:pt>
                <c:pt idx="17">
                  <c:v>0.404112598243345</c:v>
                </c:pt>
                <c:pt idx="18">
                  <c:v>0.3576287433551002</c:v>
                </c:pt>
                <c:pt idx="19">
                  <c:v>0.3322111268674568</c:v>
                </c:pt>
                <c:pt idx="20">
                  <c:v>0.30603074816406362</c:v>
                </c:pt>
                <c:pt idx="21">
                  <c:v>0.28437201215311514</c:v>
                </c:pt>
                <c:pt idx="22">
                  <c:v>0.26197254727221742</c:v>
                </c:pt>
                <c:pt idx="23">
                  <c:v>0.2388267349001536</c:v>
                </c:pt>
                <c:pt idx="24">
                  <c:v>0.22551071738236217</c:v>
                </c:pt>
                <c:pt idx="25">
                  <c:v>0.21317742339101553</c:v>
                </c:pt>
                <c:pt idx="26">
                  <c:v>0.20076219410258545</c:v>
                </c:pt>
                <c:pt idx="27">
                  <c:v>0.18826502951707069</c:v>
                </c:pt>
                <c:pt idx="28">
                  <c:v>0.17568592963447205</c:v>
                </c:pt>
                <c:pt idx="29">
                  <c:v>0.16302489445478929</c:v>
                </c:pt>
                <c:pt idx="30">
                  <c:v>0.15028192397802254</c:v>
                </c:pt>
                <c:pt idx="31">
                  <c:v>0.13745701820417189</c:v>
                </c:pt>
                <c:pt idx="32">
                  <c:v>0.12455017713323613</c:v>
                </c:pt>
                <c:pt idx="33">
                  <c:v>0.11156140076521748</c:v>
                </c:pt>
              </c:numCache>
            </c:numRef>
          </c:val>
          <c:extLst>
            <c:ext xmlns:c16="http://schemas.microsoft.com/office/drawing/2014/chart" uri="{C3380CC4-5D6E-409C-BE32-E72D297353CC}">
              <c16:uniqueId val="{00000000-5323-4B23-8079-92C1F63F9C26}"/>
            </c:ext>
          </c:extLst>
        </c:ser>
        <c:ser>
          <c:idx val="11"/>
          <c:order val="1"/>
          <c:tx>
            <c:strRef>
              <c:f>'Timing calculations'!$FC$122</c:f>
              <c:strCache>
                <c:ptCount val="1"/>
                <c:pt idx="0">
                  <c:v>80% BEV</c:v>
                </c:pt>
              </c:strCache>
            </c:strRef>
          </c:tx>
          <c:spPr>
            <a:solidFill>
              <a:schemeClr val="accent4">
                <a:lumMod val="60000"/>
                <a:lumOff val="4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calculations'!$FC$123:$FC$156</c:f>
              <c:numCache>
                <c:formatCode>0.00%</c:formatCode>
                <c:ptCount val="34"/>
                <c:pt idx="0">
                  <c:v>0</c:v>
                </c:pt>
                <c:pt idx="1">
                  <c:v>0</c:v>
                </c:pt>
                <c:pt idx="2">
                  <c:v>0</c:v>
                </c:pt>
                <c:pt idx="3">
                  <c:v>0</c:v>
                </c:pt>
                <c:pt idx="4">
                  <c:v>0</c:v>
                </c:pt>
                <c:pt idx="5">
                  <c:v>0</c:v>
                </c:pt>
                <c:pt idx="6">
                  <c:v>9.7535421532753633E-3</c:v>
                </c:pt>
                <c:pt idx="7">
                  <c:v>2.0140817739439619E-2</c:v>
                </c:pt>
                <c:pt idx="8">
                  <c:v>3.1167445379710151E-2</c:v>
                </c:pt>
                <c:pt idx="9">
                  <c:v>4.2839043695304349E-2</c:v>
                </c:pt>
                <c:pt idx="10">
                  <c:v>5.5161231307439607E-2</c:v>
                </c:pt>
                <c:pt idx="11">
                  <c:v>6.813962683733335E-2</c:v>
                </c:pt>
                <c:pt idx="12">
                  <c:v>8.177984890620292E-2</c:v>
                </c:pt>
                <c:pt idx="13">
                  <c:v>9.6087516135265713E-2</c:v>
                </c:pt>
                <c:pt idx="14">
                  <c:v>0.11106824714573914</c:v>
                </c:pt>
                <c:pt idx="15">
                  <c:v>0.1267276605588406</c:v>
                </c:pt>
                <c:pt idx="16">
                  <c:v>0.14307137499578748</c:v>
                </c:pt>
                <c:pt idx="17">
                  <c:v>0.16010500907779712</c:v>
                </c:pt>
                <c:pt idx="18">
                  <c:v>0.17783418142608698</c:v>
                </c:pt>
                <c:pt idx="19">
                  <c:v>0.19626451066187436</c:v>
                </c:pt>
                <c:pt idx="20">
                  <c:v>0.21540161540637687</c:v>
                </c:pt>
                <c:pt idx="21">
                  <c:v>0.23525111428081161</c:v>
                </c:pt>
                <c:pt idx="22">
                  <c:v>0.25581862590639615</c:v>
                </c:pt>
                <c:pt idx="23">
                  <c:v>0.27710976890434785</c:v>
                </c:pt>
                <c:pt idx="24">
                  <c:v>0.28338646916452181</c:v>
                </c:pt>
                <c:pt idx="25">
                  <c:v>0.2896968811520001</c:v>
                </c:pt>
                <c:pt idx="26">
                  <c:v>0.29604100486678259</c:v>
                </c:pt>
                <c:pt idx="27">
                  <c:v>0.30241884030886967</c:v>
                </c:pt>
                <c:pt idx="28">
                  <c:v>0.30883038747826091</c:v>
                </c:pt>
                <c:pt idx="29">
                  <c:v>0.31527564637495659</c:v>
                </c:pt>
                <c:pt idx="30">
                  <c:v>0.32175461699895658</c:v>
                </c:pt>
                <c:pt idx="31">
                  <c:v>0.32826729935026083</c:v>
                </c:pt>
                <c:pt idx="32">
                  <c:v>0.33481369342886969</c:v>
                </c:pt>
                <c:pt idx="33">
                  <c:v>0.34139379923478264</c:v>
                </c:pt>
              </c:numCache>
            </c:numRef>
          </c:val>
          <c:extLst>
            <c:ext xmlns:c16="http://schemas.microsoft.com/office/drawing/2014/chart" uri="{C3380CC4-5D6E-409C-BE32-E72D297353CC}">
              <c16:uniqueId val="{00000001-5323-4B23-8079-92C1F63F9C26}"/>
            </c:ext>
          </c:extLst>
        </c:ser>
        <c:ser>
          <c:idx val="4"/>
          <c:order val="2"/>
          <c:tx>
            <c:strRef>
              <c:f>'Timing calculations'!$FD$122</c:f>
              <c:strCache>
                <c:ptCount val="1"/>
                <c:pt idx="0">
                  <c:v>ICE fuel efficiency@80%BEV</c:v>
                </c:pt>
              </c:strCache>
            </c:strRef>
          </c:tx>
          <c:spPr>
            <a:solidFill>
              <a:schemeClr val="accent5">
                <a:lumMod val="60000"/>
                <a:lumOff val="40000"/>
              </a:schemeClr>
            </a:solidFill>
            <a:ln w="25400">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02-5323-4B23-8079-92C1F63F9C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calculations'!$FD$123:$FD$156</c:f>
              <c:numCache>
                <c:formatCode>0.00%</c:formatCode>
                <c:ptCount val="34"/>
                <c:pt idx="0">
                  <c:v>0</c:v>
                </c:pt>
                <c:pt idx="1">
                  <c:v>0</c:v>
                </c:pt>
                <c:pt idx="2">
                  <c:v>0</c:v>
                </c:pt>
                <c:pt idx="3">
                  <c:v>0</c:v>
                </c:pt>
                <c:pt idx="4">
                  <c:v>5.0072235294117617E-3</c:v>
                </c:pt>
                <c:pt idx="5">
                  <c:v>1.0047717647058819E-2</c:v>
                </c:pt>
                <c:pt idx="6">
                  <c:v>1.1257103529411762E-2</c:v>
                </c:pt>
                <c:pt idx="7">
                  <c:v>1.2474252549019604E-2</c:v>
                </c:pt>
                <c:pt idx="8">
                  <c:v>1.3699164705882349E-2</c:v>
                </c:pt>
                <c:pt idx="9">
                  <c:v>1.4931839999999993E-2</c:v>
                </c:pt>
                <c:pt idx="10">
                  <c:v>1.6172278431372537E-2</c:v>
                </c:pt>
                <c:pt idx="11">
                  <c:v>1.7420479999999992E-2</c:v>
                </c:pt>
                <c:pt idx="12">
                  <c:v>1.8676444705882343E-2</c:v>
                </c:pt>
                <c:pt idx="13">
                  <c:v>1.99401725490196E-2</c:v>
                </c:pt>
                <c:pt idx="14">
                  <c:v>2.1211663529411742E-2</c:v>
                </c:pt>
                <c:pt idx="15">
                  <c:v>2.2490917647058815E-2</c:v>
                </c:pt>
                <c:pt idx="16">
                  <c:v>2.3777934901960767E-2</c:v>
                </c:pt>
                <c:pt idx="17">
                  <c:v>2.5072715294117639E-2</c:v>
                </c:pt>
                <c:pt idx="18">
                  <c:v>2.6375258823529407E-2</c:v>
                </c:pt>
                <c:pt idx="19">
                  <c:v>2.7685565490196067E-2</c:v>
                </c:pt>
                <c:pt idx="20">
                  <c:v>2.9003635294117661E-2</c:v>
                </c:pt>
                <c:pt idx="21">
                  <c:v>2.5039444705882347E-2</c:v>
                </c:pt>
                <c:pt idx="22">
                  <c:v>2.1049746666666667E-2</c:v>
                </c:pt>
                <c:pt idx="23">
                  <c:v>1.7034541176470564E-2</c:v>
                </c:pt>
                <c:pt idx="24">
                  <c:v>1.815576E-2</c:v>
                </c:pt>
                <c:pt idx="25">
                  <c:v>1.8212320000000004E-2</c:v>
                </c:pt>
                <c:pt idx="26">
                  <c:v>1.8268879999999998E-2</c:v>
                </c:pt>
                <c:pt idx="27">
                  <c:v>1.8325440000000005E-2</c:v>
                </c:pt>
                <c:pt idx="28">
                  <c:v>1.8381999999999999E-2</c:v>
                </c:pt>
                <c:pt idx="29">
                  <c:v>1.843856E-2</c:v>
                </c:pt>
                <c:pt idx="30">
                  <c:v>1.849512E-2</c:v>
                </c:pt>
                <c:pt idx="31">
                  <c:v>1.8551679999999994E-2</c:v>
                </c:pt>
                <c:pt idx="32">
                  <c:v>1.8608240000000005E-2</c:v>
                </c:pt>
                <c:pt idx="33">
                  <c:v>1.8664799999999999E-2</c:v>
                </c:pt>
              </c:numCache>
            </c:numRef>
          </c:val>
          <c:extLst>
            <c:ext xmlns:c16="http://schemas.microsoft.com/office/drawing/2014/chart" uri="{C3380CC4-5D6E-409C-BE32-E72D297353CC}">
              <c16:uniqueId val="{00000003-5323-4B23-8079-92C1F63F9C26}"/>
            </c:ext>
          </c:extLst>
        </c:ser>
        <c:ser>
          <c:idx val="0"/>
          <c:order val="3"/>
          <c:tx>
            <c:strRef>
              <c:f>'Timing calculations'!$FE$6</c:f>
              <c:strCache>
                <c:ptCount val="1"/>
                <c:pt idx="0">
                  <c:v>Trips &gt; 8km (car to PT/carpool)</c:v>
                </c:pt>
              </c:strCache>
            </c:strRef>
          </c:tx>
          <c:spPr>
            <a:solidFill>
              <a:schemeClr val="accent6">
                <a:lumMod val="75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calculations'!$FE$123:$FE$156</c:f>
              <c:numCache>
                <c:formatCode>0.00%</c:formatCode>
                <c:ptCount val="34"/>
                <c:pt idx="0">
                  <c:v>0</c:v>
                </c:pt>
                <c:pt idx="1">
                  <c:v>0</c:v>
                </c:pt>
                <c:pt idx="2">
                  <c:v>0</c:v>
                </c:pt>
                <c:pt idx="3">
                  <c:v>0</c:v>
                </c:pt>
                <c:pt idx="4">
                  <c:v>1.6404866180048626E-2</c:v>
                </c:pt>
                <c:pt idx="5">
                  <c:v>3.2918734793187389E-2</c:v>
                </c:pt>
                <c:pt idx="6">
                  <c:v>4.9541605839416067E-2</c:v>
                </c:pt>
                <c:pt idx="7">
                  <c:v>6.6273479318734771E-2</c:v>
                </c:pt>
                <c:pt idx="8">
                  <c:v>8.3114355231143619E-2</c:v>
                </c:pt>
                <c:pt idx="9">
                  <c:v>0.10006423357664236</c:v>
                </c:pt>
                <c:pt idx="10">
                  <c:v>0.11712311435523112</c:v>
                </c:pt>
                <c:pt idx="11">
                  <c:v>0.13429099756690993</c:v>
                </c:pt>
                <c:pt idx="12">
                  <c:v>0.15156788321167874</c:v>
                </c:pt>
                <c:pt idx="13">
                  <c:v>0.16895377128953773</c:v>
                </c:pt>
                <c:pt idx="14">
                  <c:v>0.18644866180048658</c:v>
                </c:pt>
                <c:pt idx="15">
                  <c:v>0.20405255474452549</c:v>
                </c:pt>
                <c:pt idx="16">
                  <c:v>0.22176545012165449</c:v>
                </c:pt>
                <c:pt idx="17">
                  <c:v>0.23958734793187345</c:v>
                </c:pt>
                <c:pt idx="18">
                  <c:v>0.25751824817518243</c:v>
                </c:pt>
                <c:pt idx="19">
                  <c:v>0.25833576642335754</c:v>
                </c:pt>
                <c:pt idx="20">
                  <c:v>0.25915328467153281</c:v>
                </c:pt>
                <c:pt idx="21">
                  <c:v>0.25997080291970803</c:v>
                </c:pt>
                <c:pt idx="22">
                  <c:v>0.26078832116788325</c:v>
                </c:pt>
                <c:pt idx="23">
                  <c:v>0.26160583941605842</c:v>
                </c:pt>
                <c:pt idx="24">
                  <c:v>0.26242335766423358</c:v>
                </c:pt>
                <c:pt idx="25">
                  <c:v>0.2632408759124088</c:v>
                </c:pt>
                <c:pt idx="26">
                  <c:v>0.26405839416058391</c:v>
                </c:pt>
                <c:pt idx="27">
                  <c:v>0.26487591240875918</c:v>
                </c:pt>
                <c:pt idx="28">
                  <c:v>0.26569343065693429</c:v>
                </c:pt>
                <c:pt idx="29">
                  <c:v>0.26651094890510951</c:v>
                </c:pt>
                <c:pt idx="30">
                  <c:v>0.26732846715328468</c:v>
                </c:pt>
                <c:pt idx="31">
                  <c:v>0.26814598540145979</c:v>
                </c:pt>
                <c:pt idx="32">
                  <c:v>0.26896350364963512</c:v>
                </c:pt>
                <c:pt idx="33">
                  <c:v>0.26978102189781017</c:v>
                </c:pt>
              </c:numCache>
            </c:numRef>
          </c:val>
          <c:extLst>
            <c:ext xmlns:c16="http://schemas.microsoft.com/office/drawing/2014/chart" uri="{C3380CC4-5D6E-409C-BE32-E72D297353CC}">
              <c16:uniqueId val="{00000004-5323-4B23-8079-92C1F63F9C26}"/>
            </c:ext>
          </c:extLst>
        </c:ser>
        <c:ser>
          <c:idx val="12"/>
          <c:order val="4"/>
          <c:tx>
            <c:strRef>
              <c:f>'Timing calculations'!$FF$6</c:f>
              <c:strCache>
                <c:ptCount val="1"/>
                <c:pt idx="0">
                  <c:v>Trips 3-8km (car to cycle/PT)</c:v>
                </c:pt>
              </c:strCache>
            </c:strRef>
          </c:tx>
          <c:spPr>
            <a:solidFill>
              <a:schemeClr val="accent6"/>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calculations'!$FF$123:$FF$156</c:f>
              <c:numCache>
                <c:formatCode>0.00%</c:formatCode>
                <c:ptCount val="34"/>
                <c:pt idx="0">
                  <c:v>0</c:v>
                </c:pt>
                <c:pt idx="1">
                  <c:v>0</c:v>
                </c:pt>
                <c:pt idx="2">
                  <c:v>0</c:v>
                </c:pt>
                <c:pt idx="3">
                  <c:v>0</c:v>
                </c:pt>
                <c:pt idx="4">
                  <c:v>3.4909164639092124E-3</c:v>
                </c:pt>
                <c:pt idx="5">
                  <c:v>7.0050283860502681E-3</c:v>
                </c:pt>
                <c:pt idx="6">
                  <c:v>1.0542335766423392E-2</c:v>
                </c:pt>
                <c:pt idx="7">
                  <c:v>1.4102838605028357E-2</c:v>
                </c:pt>
                <c:pt idx="8">
                  <c:v>1.7686536901865391E-2</c:v>
                </c:pt>
                <c:pt idx="9">
                  <c:v>2.1293430656934259E-2</c:v>
                </c:pt>
                <c:pt idx="10">
                  <c:v>2.4923519870235198E-2</c:v>
                </c:pt>
                <c:pt idx="11">
                  <c:v>2.8576804541768096E-2</c:v>
                </c:pt>
                <c:pt idx="12">
                  <c:v>3.2253284671532836E-2</c:v>
                </c:pt>
                <c:pt idx="13">
                  <c:v>3.595296025952964E-2</c:v>
                </c:pt>
                <c:pt idx="14">
                  <c:v>3.9675831305758281E-2</c:v>
                </c:pt>
                <c:pt idx="15">
                  <c:v>4.3421897810218997E-2</c:v>
                </c:pt>
                <c:pt idx="16">
                  <c:v>4.7191159772911551E-2</c:v>
                </c:pt>
                <c:pt idx="17">
                  <c:v>5.0983617193836178E-2</c:v>
                </c:pt>
                <c:pt idx="18">
                  <c:v>5.4799270072992644E-2</c:v>
                </c:pt>
                <c:pt idx="19">
                  <c:v>5.8638118410381156E-2</c:v>
                </c:pt>
                <c:pt idx="20">
                  <c:v>6.2500162206001672E-2</c:v>
                </c:pt>
                <c:pt idx="21">
                  <c:v>6.6385401459853971E-2</c:v>
                </c:pt>
                <c:pt idx="22">
                  <c:v>7.0293836171938379E-2</c:v>
                </c:pt>
                <c:pt idx="23">
                  <c:v>7.4225466342254742E-2</c:v>
                </c:pt>
                <c:pt idx="24">
                  <c:v>7.8180291970802937E-2</c:v>
                </c:pt>
                <c:pt idx="25">
                  <c:v>8.2158313057583199E-2</c:v>
                </c:pt>
                <c:pt idx="26">
                  <c:v>8.6159529602595264E-2</c:v>
                </c:pt>
                <c:pt idx="27">
                  <c:v>9.0183941605839479E-2</c:v>
                </c:pt>
                <c:pt idx="28">
                  <c:v>9.4231549067315581E-2</c:v>
                </c:pt>
                <c:pt idx="29">
                  <c:v>9.8302351987023542E-2</c:v>
                </c:pt>
                <c:pt idx="30">
                  <c:v>0.10239635036496358</c:v>
                </c:pt>
                <c:pt idx="31">
                  <c:v>0.10651354420113543</c:v>
                </c:pt>
                <c:pt idx="32">
                  <c:v>0.11065393349553942</c:v>
                </c:pt>
                <c:pt idx="33">
                  <c:v>0.11481751824817528</c:v>
                </c:pt>
              </c:numCache>
            </c:numRef>
          </c:val>
          <c:extLst>
            <c:ext xmlns:c16="http://schemas.microsoft.com/office/drawing/2014/chart" uri="{C3380CC4-5D6E-409C-BE32-E72D297353CC}">
              <c16:uniqueId val="{00000005-5323-4B23-8079-92C1F63F9C26}"/>
            </c:ext>
          </c:extLst>
        </c:ser>
        <c:ser>
          <c:idx val="7"/>
          <c:order val="5"/>
          <c:tx>
            <c:strRef>
              <c:f>'Timing calculations'!$FG$6</c:f>
              <c:strCache>
                <c:ptCount val="1"/>
                <c:pt idx="0">
                  <c:v>Trips &lt; 3km (car to walk/cycle)</c:v>
                </c:pt>
              </c:strCache>
            </c:strRef>
          </c:tx>
          <c:spPr>
            <a:solidFill>
              <a:schemeClr val="accent6">
                <a:lumMod val="60000"/>
                <a:lumOff val="4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calculations'!$FG$123:$FG$156</c:f>
              <c:numCache>
                <c:formatCode>0.00%</c:formatCode>
                <c:ptCount val="34"/>
                <c:pt idx="0">
                  <c:v>0</c:v>
                </c:pt>
                <c:pt idx="1">
                  <c:v>0</c:v>
                </c:pt>
                <c:pt idx="2">
                  <c:v>0</c:v>
                </c:pt>
                <c:pt idx="3">
                  <c:v>0</c:v>
                </c:pt>
                <c:pt idx="4">
                  <c:v>1.684428223844281E-3</c:v>
                </c:pt>
                <c:pt idx="5">
                  <c:v>3.3800486618004843E-3</c:v>
                </c:pt>
                <c:pt idx="6">
                  <c:v>5.0868613138686106E-3</c:v>
                </c:pt>
                <c:pt idx="7">
                  <c:v>6.8048661800486588E-3</c:v>
                </c:pt>
                <c:pt idx="8">
                  <c:v>8.534063260340629E-3</c:v>
                </c:pt>
                <c:pt idx="9">
                  <c:v>1.0274452554744519E-2</c:v>
                </c:pt>
                <c:pt idx="10">
                  <c:v>1.2026034063260332E-2</c:v>
                </c:pt>
                <c:pt idx="11">
                  <c:v>1.378880778588807E-2</c:v>
                </c:pt>
                <c:pt idx="12">
                  <c:v>1.5562773722627729E-2</c:v>
                </c:pt>
                <c:pt idx="13">
                  <c:v>1.734793187347931E-2</c:v>
                </c:pt>
                <c:pt idx="14">
                  <c:v>1.9144282238442809E-2</c:v>
                </c:pt>
                <c:pt idx="15">
                  <c:v>2.0951824817518238E-2</c:v>
                </c:pt>
                <c:pt idx="16">
                  <c:v>2.2770559610705583E-2</c:v>
                </c:pt>
                <c:pt idx="17">
                  <c:v>2.460048661800485E-2</c:v>
                </c:pt>
                <c:pt idx="18">
                  <c:v>2.6441605839416044E-2</c:v>
                </c:pt>
                <c:pt idx="19">
                  <c:v>2.829391727493915E-2</c:v>
                </c:pt>
                <c:pt idx="20">
                  <c:v>3.0157420924574199E-2</c:v>
                </c:pt>
                <c:pt idx="21">
                  <c:v>3.2032116788321144E-2</c:v>
                </c:pt>
                <c:pt idx="22">
                  <c:v>3.3918004866180025E-2</c:v>
                </c:pt>
                <c:pt idx="23">
                  <c:v>3.5815085158150829E-2</c:v>
                </c:pt>
                <c:pt idx="24">
                  <c:v>3.7723357664233556E-2</c:v>
                </c:pt>
                <c:pt idx="25">
                  <c:v>3.9642822384428206E-2</c:v>
                </c:pt>
                <c:pt idx="26">
                  <c:v>4.1573479318734764E-2</c:v>
                </c:pt>
                <c:pt idx="27">
                  <c:v>4.3515328467153273E-2</c:v>
                </c:pt>
                <c:pt idx="28">
                  <c:v>4.5468369829683671E-2</c:v>
                </c:pt>
                <c:pt idx="29">
                  <c:v>4.7432603406326004E-2</c:v>
                </c:pt>
                <c:pt idx="30">
                  <c:v>4.9408029197080268E-2</c:v>
                </c:pt>
                <c:pt idx="31">
                  <c:v>5.1394647201946426E-2</c:v>
                </c:pt>
                <c:pt idx="32">
                  <c:v>5.3392457420924556E-2</c:v>
                </c:pt>
                <c:pt idx="33">
                  <c:v>5.5401459854014561E-2</c:v>
                </c:pt>
              </c:numCache>
            </c:numRef>
          </c:val>
          <c:extLst>
            <c:ext xmlns:c16="http://schemas.microsoft.com/office/drawing/2014/chart" uri="{C3380CC4-5D6E-409C-BE32-E72D297353CC}">
              <c16:uniqueId val="{00000006-5323-4B23-8079-92C1F63F9C26}"/>
            </c:ext>
          </c:extLst>
        </c:ser>
        <c:ser>
          <c:idx val="5"/>
          <c:order val="6"/>
          <c:tx>
            <c:strRef>
              <c:f>'Timing calculations'!$FH$6</c:f>
              <c:strCache>
                <c:ptCount val="1"/>
                <c:pt idx="0">
                  <c:v>Localisation</c:v>
                </c:pt>
              </c:strCache>
            </c:strRef>
          </c:tx>
          <c:spPr>
            <a:solidFill>
              <a:schemeClr val="accent2">
                <a:lumMod val="75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calculations'!$FH$123:$FH$156</c:f>
              <c:numCache>
                <c:formatCode>0.00%</c:formatCode>
                <c:ptCount val="34"/>
                <c:pt idx="0">
                  <c:v>0</c:v>
                </c:pt>
                <c:pt idx="1">
                  <c:v>0</c:v>
                </c:pt>
                <c:pt idx="2">
                  <c:v>0</c:v>
                </c:pt>
                <c:pt idx="3">
                  <c:v>0</c:v>
                </c:pt>
                <c:pt idx="4">
                  <c:v>4.5149999999999479E-3</c:v>
                </c:pt>
                <c:pt idx="5">
                  <c:v>9.0600000000000073E-3</c:v>
                </c:pt>
                <c:pt idx="6">
                  <c:v>1.3634999999999956E-2</c:v>
                </c:pt>
                <c:pt idx="7">
                  <c:v>1.8240000000000017E-2</c:v>
                </c:pt>
                <c:pt idx="8">
                  <c:v>2.2874999999999968E-2</c:v>
                </c:pt>
                <c:pt idx="9">
                  <c:v>2.7540000000000026E-2</c:v>
                </c:pt>
                <c:pt idx="10">
                  <c:v>3.2234999999999965E-2</c:v>
                </c:pt>
                <c:pt idx="11">
                  <c:v>3.6960000000000028E-2</c:v>
                </c:pt>
                <c:pt idx="12">
                  <c:v>4.1714999999999981E-2</c:v>
                </c:pt>
                <c:pt idx="13">
                  <c:v>4.6500000000000048E-2</c:v>
                </c:pt>
                <c:pt idx="14">
                  <c:v>5.1314999999999986E-2</c:v>
                </c:pt>
                <c:pt idx="15">
                  <c:v>5.616000000000005E-2</c:v>
                </c:pt>
                <c:pt idx="16">
                  <c:v>6.1034999999999992E-2</c:v>
                </c:pt>
                <c:pt idx="17">
                  <c:v>6.5940000000000054E-2</c:v>
                </c:pt>
                <c:pt idx="18">
                  <c:v>7.0875000000000007E-2</c:v>
                </c:pt>
                <c:pt idx="19">
                  <c:v>7.1099999999999983E-2</c:v>
                </c:pt>
                <c:pt idx="20">
                  <c:v>7.1325000000000013E-2</c:v>
                </c:pt>
                <c:pt idx="21">
                  <c:v>7.1549999999999989E-2</c:v>
                </c:pt>
                <c:pt idx="22">
                  <c:v>7.1775000000000005E-2</c:v>
                </c:pt>
                <c:pt idx="23">
                  <c:v>7.2000000000000008E-2</c:v>
                </c:pt>
                <c:pt idx="24">
                  <c:v>7.2225000000000011E-2</c:v>
                </c:pt>
                <c:pt idx="25">
                  <c:v>7.2450000000000014E-2</c:v>
                </c:pt>
                <c:pt idx="26">
                  <c:v>7.267499999999999E-2</c:v>
                </c:pt>
                <c:pt idx="27">
                  <c:v>7.290000000000002E-2</c:v>
                </c:pt>
                <c:pt idx="28">
                  <c:v>7.3124999999999996E-2</c:v>
                </c:pt>
                <c:pt idx="29">
                  <c:v>7.3349999999999999E-2</c:v>
                </c:pt>
                <c:pt idx="30">
                  <c:v>7.3575000000000015E-2</c:v>
                </c:pt>
                <c:pt idx="31">
                  <c:v>7.3799999999999991E-2</c:v>
                </c:pt>
                <c:pt idx="32">
                  <c:v>7.4025000000000021E-2</c:v>
                </c:pt>
                <c:pt idx="33">
                  <c:v>7.4249999999999997E-2</c:v>
                </c:pt>
              </c:numCache>
            </c:numRef>
          </c:val>
          <c:extLst>
            <c:ext xmlns:c16="http://schemas.microsoft.com/office/drawing/2014/chart" uri="{C3380CC4-5D6E-409C-BE32-E72D297353CC}">
              <c16:uniqueId val="{00000007-5323-4B23-8079-92C1F63F9C26}"/>
            </c:ext>
          </c:extLst>
        </c:ser>
        <c:ser>
          <c:idx val="9"/>
          <c:order val="7"/>
          <c:tx>
            <c:strRef>
              <c:f>'Timing calculations'!$FI$6</c:f>
              <c:strCache>
                <c:ptCount val="1"/>
                <c:pt idx="0">
                  <c:v>Home delivery</c:v>
                </c:pt>
              </c:strCache>
            </c:strRef>
          </c:tx>
          <c:spPr>
            <a:solidFill>
              <a:schemeClr val="accent2"/>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calculations'!$FI$123:$FI$156</c:f>
              <c:numCache>
                <c:formatCode>0.00%</c:formatCode>
                <c:ptCount val="34"/>
                <c:pt idx="0">
                  <c:v>0</c:v>
                </c:pt>
                <c:pt idx="1">
                  <c:v>0</c:v>
                </c:pt>
                <c:pt idx="2">
                  <c:v>0</c:v>
                </c:pt>
                <c:pt idx="3">
                  <c:v>0</c:v>
                </c:pt>
                <c:pt idx="4">
                  <c:v>0</c:v>
                </c:pt>
                <c:pt idx="5">
                  <c:v>0</c:v>
                </c:pt>
                <c:pt idx="6">
                  <c:v>0</c:v>
                </c:pt>
                <c:pt idx="7">
                  <c:v>0</c:v>
                </c:pt>
                <c:pt idx="8">
                  <c:v>8.798076923077345E-4</c:v>
                </c:pt>
                <c:pt idx="9">
                  <c:v>1.7653846153845864E-3</c:v>
                </c:pt>
                <c:pt idx="10">
                  <c:v>2.6567307692307823E-3</c:v>
                </c:pt>
                <c:pt idx="11">
                  <c:v>3.5538461538462095E-3</c:v>
                </c:pt>
                <c:pt idx="12">
                  <c:v>4.4567307692307536E-3</c:v>
                </c:pt>
                <c:pt idx="13">
                  <c:v>5.3653846153846425E-3</c:v>
                </c:pt>
                <c:pt idx="14">
                  <c:v>6.2798076923076471E-3</c:v>
                </c:pt>
                <c:pt idx="15">
                  <c:v>7.1999999999999981E-3</c:v>
                </c:pt>
                <c:pt idx="16">
                  <c:v>8.1259615384615784E-3</c:v>
                </c:pt>
                <c:pt idx="17">
                  <c:v>9.0576923076922753E-3</c:v>
                </c:pt>
                <c:pt idx="18">
                  <c:v>9.9951923076923195E-3</c:v>
                </c:pt>
                <c:pt idx="19">
                  <c:v>1.093846153846159E-2</c:v>
                </c:pt>
                <c:pt idx="20">
                  <c:v>1.1887499999999983E-2</c:v>
                </c:pt>
                <c:pt idx="21">
                  <c:v>1.2842307692307715E-2</c:v>
                </c:pt>
                <c:pt idx="22">
                  <c:v>1.3802884615384566E-2</c:v>
                </c:pt>
                <c:pt idx="23">
                  <c:v>1.4769230769230764E-2</c:v>
                </c:pt>
                <c:pt idx="24">
                  <c:v>1.5741346153846193E-2</c:v>
                </c:pt>
                <c:pt idx="25">
                  <c:v>1.6719230769230736E-2</c:v>
                </c:pt>
                <c:pt idx="26">
                  <c:v>1.770288461538462E-2</c:v>
                </c:pt>
                <c:pt idx="27">
                  <c:v>1.8692307692307751E-2</c:v>
                </c:pt>
                <c:pt idx="28">
                  <c:v>1.9687499999999976E-2</c:v>
                </c:pt>
                <c:pt idx="29">
                  <c:v>2.0688461538461562E-2</c:v>
                </c:pt>
                <c:pt idx="30">
                  <c:v>2.1695192307692256E-2</c:v>
                </c:pt>
                <c:pt idx="31">
                  <c:v>2.2707692307692293E-2</c:v>
                </c:pt>
                <c:pt idx="32">
                  <c:v>2.3725961538461581E-2</c:v>
                </c:pt>
                <c:pt idx="33">
                  <c:v>2.474999999999996E-2</c:v>
                </c:pt>
              </c:numCache>
            </c:numRef>
          </c:val>
          <c:extLst>
            <c:ext xmlns:c16="http://schemas.microsoft.com/office/drawing/2014/chart" uri="{C3380CC4-5D6E-409C-BE32-E72D297353CC}">
              <c16:uniqueId val="{00000008-5323-4B23-8079-92C1F63F9C26}"/>
            </c:ext>
          </c:extLst>
        </c:ser>
        <c:ser>
          <c:idx val="6"/>
          <c:order val="8"/>
          <c:tx>
            <c:strRef>
              <c:f>'Timing calculations'!$FJ$6</c:f>
              <c:strCache>
                <c:ptCount val="1"/>
                <c:pt idx="0">
                  <c:v>Online / Teleservices</c:v>
                </c:pt>
              </c:strCache>
            </c:strRef>
          </c:tx>
          <c:spPr>
            <a:solidFill>
              <a:schemeClr val="accent2">
                <a:lumMod val="60000"/>
                <a:lumOff val="4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calculations'!$FJ$123:$FJ$156</c:f>
              <c:numCache>
                <c:formatCode>0.00%</c:formatCode>
                <c:ptCount val="34"/>
                <c:pt idx="0">
                  <c:v>0</c:v>
                </c:pt>
                <c:pt idx="1">
                  <c:v>0</c:v>
                </c:pt>
                <c:pt idx="2">
                  <c:v>0</c:v>
                </c:pt>
                <c:pt idx="3">
                  <c:v>0</c:v>
                </c:pt>
                <c:pt idx="4">
                  <c:v>0</c:v>
                </c:pt>
                <c:pt idx="5">
                  <c:v>0</c:v>
                </c:pt>
                <c:pt idx="6">
                  <c:v>2.524999999999722E-4</c:v>
                </c:pt>
                <c:pt idx="7">
                  <c:v>5.0666666666661093E-4</c:v>
                </c:pt>
                <c:pt idx="8">
                  <c:v>7.62500000000029E-4</c:v>
                </c:pt>
                <c:pt idx="9">
                  <c:v>1.0200000000000009E-3</c:v>
                </c:pt>
                <c:pt idx="10">
                  <c:v>1.2791666666666392E-3</c:v>
                </c:pt>
                <c:pt idx="11">
                  <c:v>1.5399999999999444E-3</c:v>
                </c:pt>
                <c:pt idx="12">
                  <c:v>1.8025000000000302E-3</c:v>
                </c:pt>
                <c:pt idx="13">
                  <c:v>2.0666666666666689E-3</c:v>
                </c:pt>
                <c:pt idx="14">
                  <c:v>2.332499999999973E-3</c:v>
                </c:pt>
                <c:pt idx="15">
                  <c:v>2.5999999999999448E-3</c:v>
                </c:pt>
                <c:pt idx="16">
                  <c:v>2.8691666666666978E-3</c:v>
                </c:pt>
                <c:pt idx="17">
                  <c:v>3.1400000000000026E-3</c:v>
                </c:pt>
                <c:pt idx="18">
                  <c:v>3.4124999999999741E-3</c:v>
                </c:pt>
                <c:pt idx="19">
                  <c:v>3.6866666666666103E-3</c:v>
                </c:pt>
                <c:pt idx="20">
                  <c:v>3.9625000000000337E-3</c:v>
                </c:pt>
                <c:pt idx="21">
                  <c:v>4.2400000000000033E-3</c:v>
                </c:pt>
                <c:pt idx="22">
                  <c:v>4.519166666666641E-3</c:v>
                </c:pt>
                <c:pt idx="23">
                  <c:v>4.7999999999999449E-3</c:v>
                </c:pt>
                <c:pt idx="24">
                  <c:v>5.0825000000000349E-3</c:v>
                </c:pt>
                <c:pt idx="25">
                  <c:v>5.3666666666666724E-3</c:v>
                </c:pt>
                <c:pt idx="26">
                  <c:v>5.6524999999999735E-3</c:v>
                </c:pt>
                <c:pt idx="27">
                  <c:v>5.9399999999999471E-3</c:v>
                </c:pt>
                <c:pt idx="28">
                  <c:v>6.2291666666667023E-3</c:v>
                </c:pt>
                <c:pt idx="29">
                  <c:v>6.5200000000000058E-3</c:v>
                </c:pt>
                <c:pt idx="30">
                  <c:v>6.8124999999999766E-3</c:v>
                </c:pt>
                <c:pt idx="31">
                  <c:v>7.1066666666666101E-3</c:v>
                </c:pt>
                <c:pt idx="32">
                  <c:v>7.4025000000000384E-3</c:v>
                </c:pt>
                <c:pt idx="33">
                  <c:v>7.7000000000000063E-3</c:v>
                </c:pt>
              </c:numCache>
            </c:numRef>
          </c:val>
          <c:extLst>
            <c:ext xmlns:c16="http://schemas.microsoft.com/office/drawing/2014/chart" uri="{C3380CC4-5D6E-409C-BE32-E72D297353CC}">
              <c16:uniqueId val="{00000009-5323-4B23-8079-92C1F63F9C26}"/>
            </c:ext>
          </c:extLst>
        </c:ser>
        <c:ser>
          <c:idx val="3"/>
          <c:order val="9"/>
          <c:tx>
            <c:strRef>
              <c:f>'Timing calculations'!$FK$6</c:f>
              <c:strCache>
                <c:ptCount val="1"/>
                <c:pt idx="0">
                  <c:v>Work from Home</c:v>
                </c:pt>
              </c:strCache>
            </c:strRef>
          </c:tx>
          <c:spPr>
            <a:solidFill>
              <a:schemeClr val="accent2">
                <a:lumMod val="20000"/>
                <a:lumOff val="80000"/>
              </a:schemeClr>
            </a:solidFill>
            <a:ln w="25400">
              <a:noFill/>
            </a:ln>
            <a:effectLst/>
          </c:spP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calculations'!$FK$123:$FK$156</c:f>
              <c:numCache>
                <c:formatCode>0.00%</c:formatCode>
                <c:ptCount val="34"/>
                <c:pt idx="0">
                  <c:v>0</c:v>
                </c:pt>
                <c:pt idx="1">
                  <c:v>0</c:v>
                </c:pt>
                <c:pt idx="2">
                  <c:v>0</c:v>
                </c:pt>
                <c:pt idx="3">
                  <c:v>0</c:v>
                </c:pt>
                <c:pt idx="4">
                  <c:v>9.6319999999996064E-4</c:v>
                </c:pt>
                <c:pt idx="5">
                  <c:v>1.9328000000000329E-3</c:v>
                </c:pt>
                <c:pt idx="6">
                  <c:v>2.9087999999999935E-3</c:v>
                </c:pt>
                <c:pt idx="7">
                  <c:v>3.8911999999999541E-3</c:v>
                </c:pt>
                <c:pt idx="8">
                  <c:v>4.8800000000000275E-3</c:v>
                </c:pt>
                <c:pt idx="9">
                  <c:v>5.8751999999999876E-3</c:v>
                </c:pt>
                <c:pt idx="10">
                  <c:v>6.876799999999946E-3</c:v>
                </c:pt>
                <c:pt idx="11">
                  <c:v>7.8848000000000199E-3</c:v>
                </c:pt>
                <c:pt idx="12">
                  <c:v>8.8991999999999804E-3</c:v>
                </c:pt>
                <c:pt idx="13">
                  <c:v>9.9200000000000555E-3</c:v>
                </c:pt>
                <c:pt idx="14">
                  <c:v>1.0947200000000015E-2</c:v>
                </c:pt>
                <c:pt idx="15">
                  <c:v>1.1980799999999974E-2</c:v>
                </c:pt>
                <c:pt idx="16">
                  <c:v>1.3020800000000048E-2</c:v>
                </c:pt>
                <c:pt idx="17">
                  <c:v>1.4067200000000007E-2</c:v>
                </c:pt>
                <c:pt idx="18">
                  <c:v>1.5119999999999967E-2</c:v>
                </c:pt>
                <c:pt idx="19">
                  <c:v>1.6179200000000036E-2</c:v>
                </c:pt>
                <c:pt idx="20">
                  <c:v>1.7244800000000005E-2</c:v>
                </c:pt>
                <c:pt idx="21">
                  <c:v>1.8316799999999956E-2</c:v>
                </c:pt>
                <c:pt idx="22">
                  <c:v>1.9395200000000036E-2</c:v>
                </c:pt>
                <c:pt idx="23">
                  <c:v>2.0479999999999995E-2</c:v>
                </c:pt>
                <c:pt idx="24">
                  <c:v>2.1571199999999954E-2</c:v>
                </c:pt>
                <c:pt idx="25">
                  <c:v>2.2668800000000034E-2</c:v>
                </c:pt>
                <c:pt idx="26">
                  <c:v>2.3772799999999983E-2</c:v>
                </c:pt>
                <c:pt idx="27">
                  <c:v>2.4883199999999953E-2</c:v>
                </c:pt>
                <c:pt idx="28">
                  <c:v>2.600000000000002E-2</c:v>
                </c:pt>
                <c:pt idx="29">
                  <c:v>2.7123199999999979E-2</c:v>
                </c:pt>
                <c:pt idx="30">
                  <c:v>2.8252799999999939E-2</c:v>
                </c:pt>
                <c:pt idx="31">
                  <c:v>2.938880000000001E-2</c:v>
                </c:pt>
                <c:pt idx="32">
                  <c:v>3.0531199999999981E-2</c:v>
                </c:pt>
                <c:pt idx="33">
                  <c:v>3.1679999999999923E-2</c:v>
                </c:pt>
              </c:numCache>
            </c:numRef>
          </c:val>
          <c:extLst>
            <c:ext xmlns:c16="http://schemas.microsoft.com/office/drawing/2014/chart" uri="{C3380CC4-5D6E-409C-BE32-E72D297353CC}">
              <c16:uniqueId val="{0000000A-5323-4B23-8079-92C1F63F9C26}"/>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'Timing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0F-5323-4B23-8079-92C1F63F9C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'Timing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'Timing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10-5323-4B23-8079-92C1F63F9C26}"/>
                  </c:ext>
                </c:extLst>
              </c15:ser>
            </c15:filteredAreaSeries>
          </c:ext>
        </c:extLst>
      </c:areaChart>
      <c:barChart>
        <c:barDir val="col"/>
        <c:grouping val="clustered"/>
        <c:varyColors val="0"/>
        <c:ser>
          <c:idx val="10"/>
          <c:order val="11"/>
          <c:tx>
            <c:strRef>
              <c:f>'Timing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0C-5323-4B23-8079-92C1F63F9C26}"/>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0C-5323-4B23-8079-92C1F63F9C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calculations'!$EZ$7:$EZ$40</c:f>
              <c:numCache>
                <c:formatCode>0.00%</c:formatCode>
                <c:ptCount val="34"/>
                <c:pt idx="3">
                  <c:v>0.95</c:v>
                </c:pt>
              </c:numCache>
            </c:numRef>
          </c:val>
          <c:extLst>
            <c:ext xmlns:c16="http://schemas.microsoft.com/office/drawing/2014/chart" uri="{C3380CC4-5D6E-409C-BE32-E72D297353CC}">
              <c16:uniqueId val="{0000000D-5323-4B23-8079-92C1F63F9C26}"/>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'Timing calculations'!$EY$6</c:f>
              <c:strCache>
                <c:ptCount val="1"/>
                <c:pt idx="0">
                  <c:v>Start </c:v>
                </c:pt>
              </c:strCache>
            </c:strRef>
          </c:tx>
          <c:spPr>
            <a:ln w="41275" cap="rnd">
              <a:solidFill>
                <a:schemeClr val="accent3">
                  <a:lumMod val="60000"/>
                </a:schemeClr>
              </a:solidFill>
              <a:round/>
            </a:ln>
            <a:effectLst/>
          </c:spPr>
          <c:marker>
            <c:symbol val="none"/>
          </c:marker>
          <c:cat>
            <c:numRef>
              <c:f>'Timing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'Timing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E-5323-4B23-8079-92C1F63F9C26}"/>
            </c:ext>
          </c:extLst>
        </c:ser>
        <c:ser>
          <c:idx val="13"/>
          <c:order val="13"/>
          <c:tx>
            <c:strRef>
              <c:f>'Timing calculations'!$FM$122</c:f>
              <c:strCache>
                <c:ptCount val="1"/>
                <c:pt idx="0">
                  <c:v>Fit for 55' and Green Deal target </c:v>
                </c:pt>
              </c:strCache>
            </c:strRef>
          </c:tx>
          <c:spPr>
            <a:ln w="28575" cap="rnd">
              <a:solidFill>
                <a:schemeClr val="bg2">
                  <a:lumMod val="50000"/>
                </a:schemeClr>
              </a:solidFill>
              <a:prstDash val="dash"/>
              <a:round/>
            </a:ln>
            <a:effectLst/>
          </c:spPr>
          <c:marker>
            <c:symbol val="none"/>
          </c:marker>
          <c:val>
            <c:numRef>
              <c:f>'Timing calculations'!$FM$123:$FM$156</c:f>
              <c:numCache>
                <c:formatCode>0.00%</c:formatCode>
                <c:ptCount val="34"/>
                <c:pt idx="0">
                  <c:v>1</c:v>
                </c:pt>
                <c:pt idx="1">
                  <c:v>0.98333333333333328</c:v>
                </c:pt>
                <c:pt idx="2">
                  <c:v>0.96666666666666656</c:v>
                </c:pt>
                <c:pt idx="3">
                  <c:v>0.95</c:v>
                </c:pt>
                <c:pt idx="4" formatCode="0.0%">
                  <c:v>0.89999999999999991</c:v>
                </c:pt>
                <c:pt idx="5" formatCode="0.0%">
                  <c:v>0.84999999999999987</c:v>
                </c:pt>
                <c:pt idx="6" formatCode="0.0%">
                  <c:v>0.79999999999999982</c:v>
                </c:pt>
                <c:pt idx="7" formatCode="0.0%">
                  <c:v>0.74999999999999978</c:v>
                </c:pt>
                <c:pt idx="8" formatCode="0.0%">
                  <c:v>0.69999999999999973</c:v>
                </c:pt>
                <c:pt idx="9" formatCode="0.0%">
                  <c:v>0.64999999999999969</c:v>
                </c:pt>
                <c:pt idx="10" formatCode="0.0%">
                  <c:v>0.59999999999999964</c:v>
                </c:pt>
                <c:pt idx="11" formatCode="0.0%">
                  <c:v>0.5499999999999996</c:v>
                </c:pt>
                <c:pt idx="12" formatCode="0.0%">
                  <c:v>0.49999999999999961</c:v>
                </c:pt>
                <c:pt idx="13" formatCode="0.0%">
                  <c:v>0.44999999999999962</c:v>
                </c:pt>
                <c:pt idx="14" formatCode="0.0%">
                  <c:v>0.43249999999999966</c:v>
                </c:pt>
                <c:pt idx="15" formatCode="0.0%">
                  <c:v>0.4149999999999997</c:v>
                </c:pt>
                <c:pt idx="16" formatCode="0.0%">
                  <c:v>0.39749999999999974</c:v>
                </c:pt>
                <c:pt idx="17" formatCode="0.0%">
                  <c:v>0.37999999999999978</c:v>
                </c:pt>
                <c:pt idx="18" formatCode="0.0%">
                  <c:v>0.36249999999999982</c:v>
                </c:pt>
                <c:pt idx="19" formatCode="0.0%">
                  <c:v>0.34499999999999986</c:v>
                </c:pt>
                <c:pt idx="20" formatCode="0.0%">
                  <c:v>0.3274999999999999</c:v>
                </c:pt>
                <c:pt idx="21" formatCode="0.0%">
                  <c:v>0.30999999999999994</c:v>
                </c:pt>
                <c:pt idx="22" formatCode="0.0%">
                  <c:v>0.29249999999999998</c:v>
                </c:pt>
                <c:pt idx="23" formatCode="0.0%">
                  <c:v>0.27500000000000002</c:v>
                </c:pt>
                <c:pt idx="24" formatCode="0.0%">
                  <c:v>0.25750000000000006</c:v>
                </c:pt>
                <c:pt idx="25" formatCode="0.0%">
                  <c:v>0.24000000000000007</c:v>
                </c:pt>
                <c:pt idx="26" formatCode="0.0%">
                  <c:v>0.22250000000000009</c:v>
                </c:pt>
                <c:pt idx="27" formatCode="0.0%">
                  <c:v>0.2050000000000001</c:v>
                </c:pt>
                <c:pt idx="28" formatCode="0.0%">
                  <c:v>0.18750000000000011</c:v>
                </c:pt>
                <c:pt idx="29" formatCode="0.0%">
                  <c:v>0.17000000000000012</c:v>
                </c:pt>
                <c:pt idx="30" formatCode="0.0%">
                  <c:v>0.15250000000000014</c:v>
                </c:pt>
                <c:pt idx="31" formatCode="0.0%">
                  <c:v>0.13500000000000015</c:v>
                </c:pt>
                <c:pt idx="32" formatCode="0.0%">
                  <c:v>0.11750000000000016</c:v>
                </c:pt>
                <c:pt idx="33" formatCode="0.0%">
                  <c:v>0.10000000000000017</c:v>
                </c:pt>
              </c:numCache>
            </c:numRef>
          </c:val>
          <c:smooth val="0"/>
          <c:extLst>
            <c:ext xmlns:c16="http://schemas.microsoft.com/office/drawing/2014/chart" uri="{C3380CC4-5D6E-409C-BE32-E72D297353CC}">
              <c16:uniqueId val="{00000012-5323-4B23-8079-92C1F63F9C26}"/>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legend>
      <c:legendPos val="b"/>
      <c:legendEntry>
        <c:idx val="10"/>
        <c:delete val="1"/>
      </c:legendEntry>
      <c:legendEntry>
        <c:idx val="11"/>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20" baseline="0">
                <a:solidFill>
                  <a:schemeClr val="dk1">
                    <a:lumMod val="50000"/>
                    <a:lumOff val="50000"/>
                  </a:schemeClr>
                </a:solidFill>
                <a:latin typeface="+mn-lt"/>
                <a:ea typeface="+mn-ea"/>
                <a:cs typeface="+mn-cs"/>
              </a:defRPr>
            </a:pPr>
            <a:r>
              <a:rPr lang="en-GB" sz="1600"/>
              <a:t>Cumulative carbon emissions</a:t>
            </a:r>
          </a:p>
        </c:rich>
      </c:tx>
      <c:overlay val="0"/>
      <c:spPr>
        <a:noFill/>
        <a:ln>
          <a:noFill/>
        </a:ln>
        <a:effectLst/>
      </c:spPr>
      <c:txPr>
        <a:bodyPr rot="0" spcFirstLastPara="1" vertOverflow="ellipsis" vert="horz" wrap="square" anchor="ctr" anchorCtr="1"/>
        <a:lstStyle/>
        <a:p>
          <a:pPr>
            <a:defRPr sz="160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tx>
            <c:strRef>
              <c:f>'Timing calculations'!$JA$7</c:f>
              <c:strCache>
                <c:ptCount val="1"/>
                <c:pt idx="0">
                  <c:v>Cumulative emissions estimated for selected policy mix </c:v>
                </c:pt>
              </c:strCache>
            </c:strRef>
          </c:tx>
          <c:spPr>
            <a:ln w="31750" cap="rnd" cmpd="sng" algn="ctr">
              <a:solidFill>
                <a:schemeClr val="accent1"/>
              </a:solidFill>
              <a:round/>
            </a:ln>
            <a:effectLst/>
          </c:spPr>
          <c:marker>
            <c:symbol val="none"/>
          </c:marker>
          <c:cat>
            <c:numRef>
              <c:f>'Timing calculations'!$IY$10:$IY$40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'Timing calculations'!$JA$10:$JA$40</c:f>
              <c:numCache>
                <c:formatCode>0.0</c:formatCode>
                <c:ptCount val="31"/>
                <c:pt idx="0">
                  <c:v>1</c:v>
                </c:pt>
                <c:pt idx="1">
                  <c:v>1.9697554725643363</c:v>
                </c:pt>
                <c:pt idx="2">
                  <c:v>2.9090421432786204</c:v>
                </c:pt>
                <c:pt idx="3">
                  <c:v>3.8111708289603099</c:v>
                </c:pt>
                <c:pt idx="4">
                  <c:v>4.6752752629333587</c:v>
                </c:pt>
                <c:pt idx="5">
                  <c:v>5.4995571508232715</c:v>
                </c:pt>
                <c:pt idx="6">
                  <c:v>6.2831323244032609</c:v>
                </c:pt>
                <c:pt idx="7">
                  <c:v>7.0251107011084155</c:v>
                </c:pt>
                <c:pt idx="8">
                  <c:v>7.7245962840356999</c:v>
                </c:pt>
                <c:pt idx="9">
                  <c:v>8.3806871619439569</c:v>
                </c:pt>
                <c:pt idx="10">
                  <c:v>8.9924755092539037</c:v>
                </c:pt>
                <c:pt idx="11">
                  <c:v>9.5590475860481359</c:v>
                </c:pt>
                <c:pt idx="12">
                  <c:v>10.079483738071124</c:v>
                </c:pt>
                <c:pt idx="13">
                  <c:v>10.552858396729214</c:v>
                </c:pt>
                <c:pt idx="14">
                  <c:v>10.978240079090629</c:v>
                </c:pt>
                <c:pt idx="15">
                  <c:v>11.35469138788547</c:v>
                </c:pt>
                <c:pt idx="16">
                  <c:v>11.704387310903845</c:v>
                </c:pt>
                <c:pt idx="17">
                  <c:v>12.026524940550228</c:v>
                </c:pt>
                <c:pt idx="18">
                  <c:v>12.325863900711402</c:v>
                </c:pt>
                <c:pt idx="19">
                  <c:v>12.601624476787419</c:v>
                </c:pt>
                <c:pt idx="20">
                  <c:v>12.853021039840215</c:v>
                </c:pt>
                <c:pt idx="21">
                  <c:v>13.090400742347963</c:v>
                </c:pt>
                <c:pt idx="22">
                  <c:v>13.314798030127978</c:v>
                </c:pt>
                <c:pt idx="23">
                  <c:v>13.526126655499121</c:v>
                </c:pt>
                <c:pt idx="24">
                  <c:v>13.724300370780249</c:v>
                </c:pt>
                <c:pt idx="25">
                  <c:v>13.909232928290219</c:v>
                </c:pt>
                <c:pt idx="26">
                  <c:v>14.080838080347892</c:v>
                </c:pt>
                <c:pt idx="27">
                  <c:v>14.239029579272128</c:v>
                </c:pt>
                <c:pt idx="28">
                  <c:v>14.383721177381782</c:v>
                </c:pt>
                <c:pt idx="29">
                  <c:v>14.514826626995713</c:v>
                </c:pt>
              </c:numCache>
            </c:numRef>
          </c:val>
          <c:smooth val="0"/>
          <c:extLst>
            <c:ext xmlns:c16="http://schemas.microsoft.com/office/drawing/2014/chart" uri="{C3380CC4-5D6E-409C-BE32-E72D297353CC}">
              <c16:uniqueId val="{00000000-3B7A-46E1-AD90-CAACEA2DCED3}"/>
            </c:ext>
          </c:extLst>
        </c:ser>
        <c:ser>
          <c:idx val="1"/>
          <c:order val="1"/>
          <c:tx>
            <c:strRef>
              <c:f>'Timing calculations'!$JC$7</c:f>
              <c:strCache>
                <c:ptCount val="1"/>
                <c:pt idx="0">
                  <c:v>Cumulative emissions based on 2020 levels with no improvement (do nothing scenario)</c:v>
                </c:pt>
              </c:strCache>
            </c:strRef>
          </c:tx>
          <c:spPr>
            <a:ln w="22225" cap="rnd" cmpd="sng" algn="ctr">
              <a:solidFill>
                <a:schemeClr val="accent2"/>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3B7A-46E1-AD90-CAACEA2DCED3}"/>
                </c:ext>
              </c:extLst>
            </c:dLbl>
            <c:dLbl>
              <c:idx val="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7A-46E1-AD90-CAACEA2DCED3}"/>
                </c:ext>
              </c:extLst>
            </c:dLbl>
            <c:dLbl>
              <c:idx val="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7A-46E1-AD90-CAACEA2DCED3}"/>
                </c:ext>
              </c:extLst>
            </c:dLbl>
            <c:dLbl>
              <c:idx val="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7A-46E1-AD90-CAACEA2DCED3}"/>
                </c:ext>
              </c:extLst>
            </c:dLbl>
            <c:dLbl>
              <c:idx val="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7A-46E1-AD90-CAACEA2DCED3}"/>
                </c:ext>
              </c:extLst>
            </c:dLbl>
            <c:dLbl>
              <c:idx val="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7A-46E1-AD90-CAACEA2DCED3}"/>
                </c:ext>
              </c:extLst>
            </c:dLbl>
            <c:dLbl>
              <c:idx val="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7A-46E1-AD90-CAACEA2DCED3}"/>
                </c:ext>
              </c:extLst>
            </c:dLbl>
            <c:dLbl>
              <c:idx val="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7A-46E1-AD90-CAACEA2DCED3}"/>
                </c:ext>
              </c:extLst>
            </c:dLbl>
            <c:dLbl>
              <c:idx val="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7A-46E1-AD90-CAACEA2DCED3}"/>
                </c:ext>
              </c:extLst>
            </c:dLbl>
            <c:dLbl>
              <c:idx val="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7A-46E1-AD90-CAACEA2DCED3}"/>
                </c:ext>
              </c:extLst>
            </c:dLbl>
            <c:dLbl>
              <c:idx val="1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7A-46E1-AD90-CAACEA2DCED3}"/>
                </c:ext>
              </c:extLst>
            </c:dLbl>
            <c:dLbl>
              <c:idx val="1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7A-46E1-AD90-CAACEA2DCED3}"/>
                </c:ext>
              </c:extLst>
            </c:dLbl>
            <c:dLbl>
              <c:idx val="1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7A-46E1-AD90-CAACEA2DCED3}"/>
                </c:ext>
              </c:extLst>
            </c:dLbl>
            <c:dLbl>
              <c:idx val="1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7A-46E1-AD90-CAACEA2DCED3}"/>
                </c:ext>
              </c:extLst>
            </c:dLbl>
            <c:dLbl>
              <c:idx val="1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7A-46E1-AD90-CAACEA2DCED3}"/>
                </c:ext>
              </c:extLst>
            </c:dLbl>
            <c:dLbl>
              <c:idx val="1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7A-46E1-AD90-CAACEA2DCED3}"/>
                </c:ext>
              </c:extLst>
            </c:dLbl>
            <c:dLbl>
              <c:idx val="1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7A-46E1-AD90-CAACEA2DCED3}"/>
                </c:ext>
              </c:extLst>
            </c:dLbl>
            <c:dLbl>
              <c:idx val="1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7A-46E1-AD90-CAACEA2DCED3}"/>
                </c:ext>
              </c:extLst>
            </c:dLbl>
            <c:dLbl>
              <c:idx val="1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B7A-46E1-AD90-CAACEA2DCED3}"/>
                </c:ext>
              </c:extLst>
            </c:dLbl>
            <c:dLbl>
              <c:idx val="1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7A-46E1-AD90-CAACEA2DCED3}"/>
                </c:ext>
              </c:extLst>
            </c:dLbl>
            <c:dLbl>
              <c:idx val="2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B7A-46E1-AD90-CAACEA2DCED3}"/>
                </c:ext>
              </c:extLst>
            </c:dLbl>
            <c:dLbl>
              <c:idx val="21"/>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B7A-46E1-AD90-CAACEA2DCED3}"/>
                </c:ext>
              </c:extLst>
            </c:dLbl>
            <c:dLbl>
              <c:idx val="22"/>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B7A-46E1-AD90-CAACEA2DCED3}"/>
                </c:ext>
              </c:extLst>
            </c:dLbl>
            <c:dLbl>
              <c:idx val="23"/>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B7A-46E1-AD90-CAACEA2DCED3}"/>
                </c:ext>
              </c:extLst>
            </c:dLbl>
            <c:dLbl>
              <c:idx val="24"/>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B7A-46E1-AD90-CAACEA2DCED3}"/>
                </c:ext>
              </c:extLst>
            </c:dLbl>
            <c:dLbl>
              <c:idx val="25"/>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B7A-46E1-AD90-CAACEA2DCED3}"/>
                </c:ext>
              </c:extLst>
            </c:dLbl>
            <c:dLbl>
              <c:idx val="26"/>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B7A-46E1-AD90-CAACEA2DCED3}"/>
                </c:ext>
              </c:extLst>
            </c:dLbl>
            <c:dLbl>
              <c:idx val="27"/>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B7A-46E1-AD90-CAACEA2DCED3}"/>
                </c:ext>
              </c:extLst>
            </c:dLbl>
            <c:dLbl>
              <c:idx val="28"/>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B7A-46E1-AD90-CAACEA2DCED3}"/>
                </c:ext>
              </c:extLst>
            </c:dLbl>
            <c:dLbl>
              <c:idx val="29"/>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B7A-46E1-AD90-CAACEA2DCED3}"/>
                </c:ext>
              </c:extLst>
            </c:dLbl>
            <c:dLbl>
              <c:idx val="30"/>
              <c:tx>
                <c:rich>
                  <a:bodyPr/>
                  <a:lstStyle/>
                  <a:p>
                    <a:endParaRPr lang="en-GB"/>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B7A-46E1-AD90-CAACEA2DCED3}"/>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dk1">
                          <a:lumMod val="35000"/>
                          <a:lumOff val="65000"/>
                        </a:schemeClr>
                      </a:solidFill>
                    </a:ln>
                    <a:effectLst/>
                  </c:spPr>
                </c15:leaderLines>
              </c:ext>
            </c:extLst>
          </c:dLbls>
          <c:cat>
            <c:numRef>
              <c:f>'Timing calculations'!$IY$10:$IY$40</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'Timing calculations'!$JC$10:$JC$40</c:f>
              <c:numCache>
                <c:formatCode>0.0</c:formatCode>
                <c:ptCount val="31"/>
                <c:pt idx="0">
                  <c:v>1</c:v>
                </c:pt>
                <c:pt idx="1">
                  <c:v>2.0035087719298246</c:v>
                </c:pt>
                <c:pt idx="2">
                  <c:v>3.0105263157894737</c:v>
                </c:pt>
                <c:pt idx="3">
                  <c:v>4.0210526315789474</c:v>
                </c:pt>
                <c:pt idx="4">
                  <c:v>5.0350877192982457</c:v>
                </c:pt>
                <c:pt idx="5">
                  <c:v>6.052631578947369</c:v>
                </c:pt>
                <c:pt idx="6">
                  <c:v>7.0736842105263156</c:v>
                </c:pt>
                <c:pt idx="7">
                  <c:v>8.098245614035088</c:v>
                </c:pt>
                <c:pt idx="8">
                  <c:v>9.1263157894736846</c:v>
                </c:pt>
                <c:pt idx="9">
                  <c:v>10.157894736842106</c:v>
                </c:pt>
                <c:pt idx="10">
                  <c:v>11.192982456140351</c:v>
                </c:pt>
                <c:pt idx="11">
                  <c:v>12.231578947368421</c:v>
                </c:pt>
                <c:pt idx="12">
                  <c:v>13.273684210526316</c:v>
                </c:pt>
                <c:pt idx="13">
                  <c:v>14.319298245614036</c:v>
                </c:pt>
                <c:pt idx="14">
                  <c:v>15.368421052631579</c:v>
                </c:pt>
                <c:pt idx="15">
                  <c:v>16.421052631578949</c:v>
                </c:pt>
                <c:pt idx="16">
                  <c:v>17.477192982456138</c:v>
                </c:pt>
                <c:pt idx="17">
                  <c:v>18.536842105263158</c:v>
                </c:pt>
                <c:pt idx="18">
                  <c:v>19.600000000000001</c:v>
                </c:pt>
                <c:pt idx="19">
                  <c:v>20.666666666666668</c:v>
                </c:pt>
                <c:pt idx="20">
                  <c:v>21.736842105263158</c:v>
                </c:pt>
                <c:pt idx="21">
                  <c:v>22.810526315789474</c:v>
                </c:pt>
                <c:pt idx="22">
                  <c:v>23.887719298245614</c:v>
                </c:pt>
                <c:pt idx="23">
                  <c:v>24.96842105263158</c:v>
                </c:pt>
                <c:pt idx="24">
                  <c:v>26.05263157894737</c:v>
                </c:pt>
                <c:pt idx="25">
                  <c:v>27.140350877192983</c:v>
                </c:pt>
                <c:pt idx="26">
                  <c:v>28.231578947368419</c:v>
                </c:pt>
                <c:pt idx="27">
                  <c:v>29.326315789473682</c:v>
                </c:pt>
                <c:pt idx="28">
                  <c:v>30.424561403508768</c:v>
                </c:pt>
                <c:pt idx="29">
                  <c:v>31.526315789473681</c:v>
                </c:pt>
              </c:numCache>
            </c:numRef>
          </c:val>
          <c:smooth val="0"/>
          <c:extLst>
            <c:ext xmlns:c16="http://schemas.microsoft.com/office/drawing/2014/chart" uri="{C3380CC4-5D6E-409C-BE32-E72D297353CC}">
              <c16:uniqueId val="{00000020-3B7A-46E1-AD90-CAACEA2DCED3}"/>
            </c:ext>
          </c:extLst>
        </c:ser>
        <c:ser>
          <c:idx val="2"/>
          <c:order val="2"/>
          <c:tx>
            <c:strRef>
              <c:f>'Timing calculations'!$JE$7</c:f>
              <c:strCache>
                <c:ptCount val="1"/>
                <c:pt idx="0">
                  <c:v>Cumulative emissions target to remain within 1.5 degrees celcius temperature rise</c:v>
                </c:pt>
              </c:strCache>
            </c:strRef>
          </c:tx>
          <c:spPr>
            <a:ln w="28575" cap="rnd" cmpd="sng" algn="ctr">
              <a:solidFill>
                <a:schemeClr val="accent6"/>
              </a:solidFill>
              <a:prstDash val="dash"/>
              <a:round/>
            </a:ln>
            <a:effectLst/>
          </c:spPr>
          <c:marker>
            <c:symbol val="none"/>
          </c:marker>
          <c:val>
            <c:numRef>
              <c:f>'Timing calculations'!$JF$10:$JF$40</c:f>
              <c:numCache>
                <c:formatCode>0.0</c:formatCode>
                <c:ptCount val="31"/>
                <c:pt idx="0">
                  <c:v>1</c:v>
                </c:pt>
                <c:pt idx="1">
                  <c:v>1.9473684210526316</c:v>
                </c:pt>
                <c:pt idx="2">
                  <c:v>2.8421052631578947</c:v>
                </c:pt>
                <c:pt idx="3">
                  <c:v>3.6842105263157894</c:v>
                </c:pt>
                <c:pt idx="4">
                  <c:v>4.473684210526315</c:v>
                </c:pt>
                <c:pt idx="5">
                  <c:v>5.2105263157894735</c:v>
                </c:pt>
                <c:pt idx="6">
                  <c:v>5.8947368421052619</c:v>
                </c:pt>
                <c:pt idx="7">
                  <c:v>6.5263157894736832</c:v>
                </c:pt>
                <c:pt idx="8">
                  <c:v>7.1052631578947354</c:v>
                </c:pt>
                <c:pt idx="9">
                  <c:v>7.6315789473684195</c:v>
                </c:pt>
                <c:pt idx="10">
                  <c:v>8.1052631578947345</c:v>
                </c:pt>
                <c:pt idx="11">
                  <c:v>8.5605263157894704</c:v>
                </c:pt>
                <c:pt idx="12">
                  <c:v>8.9973684210526272</c:v>
                </c:pt>
                <c:pt idx="13">
                  <c:v>9.4157894736842049</c:v>
                </c:pt>
                <c:pt idx="14">
                  <c:v>9.8157894736842053</c:v>
                </c:pt>
                <c:pt idx="15">
                  <c:v>10.197368421052625</c:v>
                </c:pt>
                <c:pt idx="16">
                  <c:v>10.560526315789467</c:v>
                </c:pt>
                <c:pt idx="17">
                  <c:v>10.905263157894732</c:v>
                </c:pt>
                <c:pt idx="18">
                  <c:v>11.231578947368416</c:v>
                </c:pt>
                <c:pt idx="19">
                  <c:v>11.539473684210522</c:v>
                </c:pt>
                <c:pt idx="20">
                  <c:v>11.828947368421048</c:v>
                </c:pt>
                <c:pt idx="21">
                  <c:v>12.099999999999996</c:v>
                </c:pt>
                <c:pt idx="22">
                  <c:v>12.352631578947365</c:v>
                </c:pt>
                <c:pt idx="23">
                  <c:v>12.586842105263154</c:v>
                </c:pt>
                <c:pt idx="24">
                  <c:v>12.802631578947365</c:v>
                </c:pt>
                <c:pt idx="25">
                  <c:v>12.999999999999996</c:v>
                </c:pt>
                <c:pt idx="26">
                  <c:v>13.178947368421049</c:v>
                </c:pt>
                <c:pt idx="27">
                  <c:v>13.339473684210523</c:v>
                </c:pt>
                <c:pt idx="28">
                  <c:v>13.481578947368417</c:v>
                </c:pt>
                <c:pt idx="29">
                  <c:v>13.605263157894733</c:v>
                </c:pt>
              </c:numCache>
            </c:numRef>
          </c:val>
          <c:smooth val="0"/>
          <c:extLst>
            <c:ext xmlns:c16="http://schemas.microsoft.com/office/drawing/2014/chart" uri="{C3380CC4-5D6E-409C-BE32-E72D297353CC}">
              <c16:uniqueId val="{00000021-3B7A-46E1-AD90-CAACEA2DCED3}"/>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22927664"/>
        <c:axId val="622923728"/>
      </c:lineChart>
      <c:catAx>
        <c:axId val="622927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400" b="0" i="0" u="none" strike="noStrike" kern="1200" spc="20" baseline="0">
                <a:solidFill>
                  <a:schemeClr val="dk1">
                    <a:lumMod val="65000"/>
                    <a:lumOff val="35000"/>
                  </a:schemeClr>
                </a:solidFill>
                <a:latin typeface="+mn-lt"/>
                <a:ea typeface="+mn-ea"/>
                <a:cs typeface="+mn-cs"/>
              </a:defRPr>
            </a:pPr>
            <a:endParaRPr lang="en-US"/>
          </a:p>
        </c:txPr>
        <c:crossAx val="622923728"/>
        <c:crosses val="autoZero"/>
        <c:auto val="1"/>
        <c:lblAlgn val="ctr"/>
        <c:lblOffset val="100"/>
        <c:noMultiLvlLbl val="0"/>
      </c:catAx>
      <c:valAx>
        <c:axId val="622923728"/>
        <c:scaling>
          <c:orientation val="minMax"/>
        </c:scaling>
        <c:delete val="0"/>
        <c:axPos val="l"/>
        <c:title>
          <c:tx>
            <c:rich>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r>
                  <a:rPr lang="en-US"/>
                  <a:t>Cumulative carbon emissions: Index 1=2020 </a:t>
                </a:r>
              </a:p>
            </c:rich>
          </c:tx>
          <c:overlay val="0"/>
          <c:spPr>
            <a:noFill/>
            <a:ln>
              <a:noFill/>
            </a:ln>
            <a:effectLst/>
          </c:spPr>
          <c:txPr>
            <a:bodyPr rot="-5400000" spcFirstLastPara="1" vertOverflow="ellipsis" vert="horz" wrap="square" anchor="ctr" anchorCtr="1"/>
            <a:lstStyle/>
            <a:p>
              <a:pPr>
                <a:defRPr sz="1600" b="0" i="0" u="none" strike="noStrike" kern="1200" cap="all" baseline="0">
                  <a:solidFill>
                    <a:schemeClr val="dk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spc="20" baseline="0">
                <a:solidFill>
                  <a:schemeClr val="dk1">
                    <a:lumMod val="65000"/>
                    <a:lumOff val="35000"/>
                  </a:schemeClr>
                </a:solidFill>
                <a:latin typeface="+mn-lt"/>
                <a:ea typeface="+mn-ea"/>
                <a:cs typeface="+mn-cs"/>
              </a:defRPr>
            </a:pPr>
            <a:endParaRPr lang="en-US"/>
          </a:p>
        </c:txPr>
        <c:crossAx val="62292766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 distance by trip purpose</a:t>
            </a:r>
          </a:p>
          <a:p>
            <a:pPr>
              <a:defRPr b="1"/>
            </a:pPr>
            <a:endParaRPr lang="en-GB" b="1"/>
          </a:p>
        </c:rich>
      </c:tx>
      <c:overlay val="0"/>
      <c:spPr>
        <a:noFill/>
        <a:ln w="25400">
          <a:noFill/>
        </a:ln>
      </c:sp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B94-4312-B5AF-F33D1E16202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B94-4312-B5AF-F33D1E16202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B94-4312-B5AF-F33D1E16202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B94-4312-B5AF-F33D1E16202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B94-4312-B5AF-F33D1E16202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B94-4312-B5AF-F33D1E16202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B94-4312-B5AF-F33D1E16202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EB94-4312-B5AF-F33D1E16202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EB94-4312-B5AF-F33D1E16202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EB94-4312-B5AF-F33D1E16202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EB94-4312-B5AF-F33D1E16202A}"/>
              </c:ext>
            </c:extLst>
          </c:dPt>
          <c:dLbls>
            <c:dLbl>
              <c:idx val="6"/>
              <c:layout>
                <c:manualLayout>
                  <c:x val="1.0028651937551347E-2"/>
                  <c:y val="-2.476780185758514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B94-4312-B5AF-F33D1E16202A}"/>
                </c:ext>
              </c:extLst>
            </c:dLbl>
            <c:dLbl>
              <c:idx val="7"/>
              <c:layout>
                <c:manualLayout>
                  <c:x val="3.2578115302017195E-3"/>
                  <c:y val="6.283732722264205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EB94-4312-B5AF-F33D1E16202A}"/>
                </c:ext>
              </c:extLst>
            </c:dLbl>
            <c:spPr>
              <a:noFill/>
              <a:ln w="25400">
                <a:noFill/>
              </a:ln>
            </c:sp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'[1]Sheet 0'!$B$243:$L$243</c:f>
              <c:strCache>
                <c:ptCount val="11"/>
                <c:pt idx="0">
                  <c:v>Commuter</c:v>
                </c:pt>
                <c:pt idx="1">
                  <c:v>Business</c:v>
                </c:pt>
                <c:pt idx="2">
                  <c:v>Education</c:v>
                </c:pt>
                <c:pt idx="3">
                  <c:v>Escort Education</c:v>
                </c:pt>
                <c:pt idx="4">
                  <c:v>Shopping</c:v>
                </c:pt>
                <c:pt idx="5">
                  <c:v>Other Escort</c:v>
                </c:pt>
                <c:pt idx="6">
                  <c:v>Personal business</c:v>
                </c:pt>
                <c:pt idx="7">
                  <c:v>Visiting friends at private home</c:v>
                </c:pt>
                <c:pt idx="8">
                  <c:v>Visiting friends elsewhere</c:v>
                </c:pt>
                <c:pt idx="9">
                  <c:v>Entertainment / public activity</c:v>
                </c:pt>
                <c:pt idx="10">
                  <c:v>Sport: participate</c:v>
                </c:pt>
              </c:strCache>
            </c:strRef>
          </c:cat>
          <c:val>
            <c:numRef>
              <c:f>'[1]Sheet 0'!$B$245:$L$245</c:f>
              <c:numCache>
                <c:formatCode>General</c:formatCode>
                <c:ptCount val="11"/>
                <c:pt idx="0">
                  <c:v>0.24014293370129028</c:v>
                </c:pt>
                <c:pt idx="1">
                  <c:v>8.6706994610840263E-2</c:v>
                </c:pt>
                <c:pt idx="2">
                  <c:v>4.3552243412319343E-2</c:v>
                </c:pt>
                <c:pt idx="3">
                  <c:v>1.9545901202721306E-2</c:v>
                </c:pt>
                <c:pt idx="4">
                  <c:v>0.15777374713728884</c:v>
                </c:pt>
                <c:pt idx="5">
                  <c:v>8.2568740627441572E-2</c:v>
                </c:pt>
                <c:pt idx="6">
                  <c:v>8.535606326897352E-2</c:v>
                </c:pt>
                <c:pt idx="7">
                  <c:v>0.1554390509917784</c:v>
                </c:pt>
                <c:pt idx="8">
                  <c:v>4.8565801385165738E-2</c:v>
                </c:pt>
                <c:pt idx="9">
                  <c:v>6.1885644094034707E-2</c:v>
                </c:pt>
                <c:pt idx="10">
                  <c:v>1.8462879568146025E-2</c:v>
                </c:pt>
              </c:numCache>
            </c:numRef>
          </c:val>
          <c:extLst>
            <c:ext xmlns:c16="http://schemas.microsoft.com/office/drawing/2014/chart" uri="{C3380CC4-5D6E-409C-BE32-E72D297353CC}">
              <c16:uniqueId val="{00000016-EB94-4312-B5AF-F33D1E16202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 trips &lt; 1mile which are walking trips</a:t>
            </a:r>
          </a:p>
        </c:rich>
      </c:tx>
      <c:overlay val="0"/>
      <c:spPr>
        <a:noFill/>
        <a:ln w="25400">
          <a:noFill/>
        </a:ln>
      </c:spPr>
    </c:title>
    <c:autoTitleDeleted val="0"/>
    <c:plotArea>
      <c:layout/>
      <c:barChart>
        <c:barDir val="col"/>
        <c:grouping val="clustered"/>
        <c:varyColors val="0"/>
        <c:ser>
          <c:idx val="0"/>
          <c:order val="0"/>
          <c:tx>
            <c:strRef>
              <c:f>'[1]Sheet 0'!$A$283</c:f>
              <c:strCache>
                <c:ptCount val="1"/>
                <c:pt idx="0">
                  <c:v>% walking trips</c:v>
                </c:pt>
              </c:strCache>
            </c:strRef>
          </c:tx>
          <c:spPr>
            <a:solidFill>
              <a:srgbClr val="4472C4"/>
            </a:solidFill>
            <a:ln w="25400">
              <a:noFill/>
            </a:ln>
          </c:spPr>
          <c:invertIfNegative val="0"/>
          <c:cat>
            <c:strRef>
              <c:f>'[1]Sheet 0'!$B$282:$L$282</c:f>
              <c:strCache>
                <c:ptCount val="11"/>
                <c:pt idx="0">
                  <c:v>Commuter</c:v>
                </c:pt>
                <c:pt idx="1">
                  <c:v>Business</c:v>
                </c:pt>
                <c:pt idx="2">
                  <c:v>Education</c:v>
                </c:pt>
                <c:pt idx="3">
                  <c:v>Escort Education</c:v>
                </c:pt>
                <c:pt idx="4">
                  <c:v>Shopping</c:v>
                </c:pt>
                <c:pt idx="5">
                  <c:v>Other Escort</c:v>
                </c:pt>
                <c:pt idx="6">
                  <c:v>Personal business</c:v>
                </c:pt>
                <c:pt idx="7">
                  <c:v>Visiting friends at private home</c:v>
                </c:pt>
                <c:pt idx="8">
                  <c:v>Visiting friends elsewhere</c:v>
                </c:pt>
                <c:pt idx="9">
                  <c:v>Entertainment / public activity</c:v>
                </c:pt>
                <c:pt idx="10">
                  <c:v>Sport: participate</c:v>
                </c:pt>
              </c:strCache>
            </c:strRef>
          </c:cat>
          <c:val>
            <c:numRef>
              <c:f>'[1]Sheet 0'!$B$283:$L$283</c:f>
              <c:numCache>
                <c:formatCode>General</c:formatCode>
                <c:ptCount val="11"/>
                <c:pt idx="0">
                  <c:v>74.2</c:v>
                </c:pt>
                <c:pt idx="1">
                  <c:v>70.599999999999994</c:v>
                </c:pt>
                <c:pt idx="2">
                  <c:v>85.3</c:v>
                </c:pt>
                <c:pt idx="3">
                  <c:v>79.5</c:v>
                </c:pt>
                <c:pt idx="4">
                  <c:v>78.099999999999994</c:v>
                </c:pt>
                <c:pt idx="5">
                  <c:v>57.1</c:v>
                </c:pt>
                <c:pt idx="6">
                  <c:v>75.900000000000006</c:v>
                </c:pt>
                <c:pt idx="7">
                  <c:v>74.099999999999994</c:v>
                </c:pt>
                <c:pt idx="8">
                  <c:v>85.6</c:v>
                </c:pt>
                <c:pt idx="9">
                  <c:v>70.3</c:v>
                </c:pt>
                <c:pt idx="10">
                  <c:v>67.099999999999994</c:v>
                </c:pt>
              </c:numCache>
            </c:numRef>
          </c:val>
          <c:extLst>
            <c:ext xmlns:c16="http://schemas.microsoft.com/office/drawing/2014/chart" uri="{C3380CC4-5D6E-409C-BE32-E72D297353CC}">
              <c16:uniqueId val="{00000000-4EC4-43E5-8426-41D8378785D9}"/>
            </c:ext>
          </c:extLst>
        </c:ser>
        <c:dLbls>
          <c:showLegendKey val="0"/>
          <c:showVal val="0"/>
          <c:showCatName val="0"/>
          <c:showSerName val="0"/>
          <c:showPercent val="0"/>
          <c:showBubbleSize val="0"/>
        </c:dLbls>
        <c:gapWidth val="219"/>
        <c:overlap val="-27"/>
        <c:axId val="648710256"/>
        <c:axId val="1"/>
      </c:barChart>
      <c:catAx>
        <c:axId val="64871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ln w="6350">
            <a:noFill/>
          </a:ln>
        </c:spPr>
        <c:txPr>
          <a:bodyPr rot="0" vert="horz"/>
          <a:lstStyle/>
          <a:p>
            <a:pPr>
              <a:defRPr/>
            </a:pPr>
            <a:endParaRPr lang="en-US"/>
          </a:p>
        </c:txPr>
        <c:crossAx val="64871025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Full range of BEV uptake scenarios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'Main calculations'!$EC$10</c:f>
              <c:strCache>
                <c:ptCount val="1"/>
                <c:pt idx="0">
                  <c:v>Residual emissions</c:v>
                </c:pt>
              </c:strCache>
            </c:strRef>
          </c:tx>
          <c:spPr>
            <a:solidFill>
              <a:schemeClr val="bg1">
                <a:lumMod val="75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calculations'!$EC$11:$EC$40</c:f>
              <c:numCache>
                <c:formatCode>0.00%</c:formatCode>
                <c:ptCount val="30"/>
                <c:pt idx="0">
                  <c:v>0.9307160784313725</c:v>
                </c:pt>
                <c:pt idx="1">
                  <c:v>0.91143215686274504</c:v>
                </c:pt>
                <c:pt idx="2">
                  <c:v>0.88719061260812748</c:v>
                </c:pt>
                <c:pt idx="3">
                  <c:v>0.86249757200568378</c:v>
                </c:pt>
                <c:pt idx="4">
                  <c:v>0.83648765044002849</c:v>
                </c:pt>
                <c:pt idx="5">
                  <c:v>0.81002623252654815</c:v>
                </c:pt>
                <c:pt idx="6">
                  <c:v>0.78311331826524144</c:v>
                </c:pt>
                <c:pt idx="7">
                  <c:v>0.75574890765610836</c:v>
                </c:pt>
                <c:pt idx="8">
                  <c:v>0.72793300069914957</c:v>
                </c:pt>
                <c:pt idx="9">
                  <c:v>0.69645131168007879</c:v>
                </c:pt>
                <c:pt idx="10">
                  <c:v>0.6645181263131823</c:v>
                </c:pt>
                <c:pt idx="11">
                  <c:v>0.63213344459845922</c:v>
                </c:pt>
                <c:pt idx="12">
                  <c:v>0.5992972665359102</c:v>
                </c:pt>
                <c:pt idx="13">
                  <c:v>0.56600959212553503</c:v>
                </c:pt>
                <c:pt idx="14">
                  <c:v>0.53227042136733416</c:v>
                </c:pt>
                <c:pt idx="15">
                  <c:v>0.49807975426130713</c:v>
                </c:pt>
                <c:pt idx="16">
                  <c:v>0.46343759080745373</c:v>
                </c:pt>
                <c:pt idx="17">
                  <c:v>0.43333451924106836</c:v>
                </c:pt>
                <c:pt idx="18">
                  <c:v>0.40277995132685696</c:v>
                </c:pt>
                <c:pt idx="19">
                  <c:v>0.37177388706481951</c:v>
                </c:pt>
                <c:pt idx="20">
                  <c:v>0.34031632645495569</c:v>
                </c:pt>
                <c:pt idx="21">
                  <c:v>0.30840726949726593</c:v>
                </c:pt>
                <c:pt idx="22">
                  <c:v>0.27604671619175025</c:v>
                </c:pt>
                <c:pt idx="23">
                  <c:v>0.24323466653840842</c:v>
                </c:pt>
                <c:pt idx="24">
                  <c:v>0.20997112053724043</c:v>
                </c:pt>
                <c:pt idx="25">
                  <c:v>0.17625607818824651</c:v>
                </c:pt>
                <c:pt idx="26">
                  <c:v>0.14208953949142644</c:v>
                </c:pt>
                <c:pt idx="27">
                  <c:v>0.10747150444678011</c:v>
                </c:pt>
                <c:pt idx="28">
                  <c:v>7.2401973054307622E-2</c:v>
                </c:pt>
                <c:pt idx="29">
                  <c:v>3.6880945314009317E-2</c:v>
                </c:pt>
              </c:numCache>
            </c:numRef>
          </c:val>
          <c:extLst>
            <c:ext xmlns:c16="http://schemas.microsoft.com/office/drawing/2014/chart" uri="{C3380CC4-5D6E-409C-BE32-E72D297353CC}">
              <c16:uniqueId val="{00000000-00CF-4E4C-B8CE-CC420760089C}"/>
            </c:ext>
          </c:extLst>
        </c:ser>
        <c:ser>
          <c:idx val="1"/>
          <c:order val="1"/>
          <c:tx>
            <c:strRef>
              <c:f>'Main calculations'!$EE$10</c:f>
              <c:strCache>
                <c:ptCount val="1"/>
                <c:pt idx="0">
                  <c:v>100% BEV</c:v>
                </c:pt>
              </c:strCache>
            </c:strRef>
          </c:tx>
          <c:spPr>
            <a:solidFill>
              <a:srgbClr val="E6AF00"/>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calculations'!$EE$11:$EE$40</c:f>
              <c:numCache>
                <c:formatCode>0.0%</c:formatCode>
                <c:ptCount val="30"/>
                <c:pt idx="0">
                  <c:v>0</c:v>
                </c:pt>
                <c:pt idx="1">
                  <c:v>0</c:v>
                </c:pt>
                <c:pt idx="2">
                  <c:v>9.460134260869113E-4</c:v>
                </c:pt>
                <c:pt idx="3">
                  <c:v>1.9823261217390975E-3</c:v>
                </c:pt>
                <c:pt idx="4">
                  <c:v>3.1089380869565586E-3</c:v>
                </c:pt>
                <c:pt idx="5">
                  <c:v>4.3258493217391836E-3</c:v>
                </c:pt>
                <c:pt idx="6">
                  <c:v>5.6330598260869724E-3</c:v>
                </c:pt>
                <c:pt idx="7">
                  <c:v>7.0305696000000362E-3</c:v>
                </c:pt>
                <c:pt idx="8">
                  <c:v>8.5183786434782638E-3</c:v>
                </c:pt>
                <c:pt idx="9">
                  <c:v>1.0096486956521766E-2</c:v>
                </c:pt>
                <c:pt idx="10">
                  <c:v>1.1764894539130544E-2</c:v>
                </c:pt>
                <c:pt idx="11">
                  <c:v>1.3523601391304374E-2</c:v>
                </c:pt>
                <c:pt idx="12">
                  <c:v>1.5372607513043479E-2</c:v>
                </c:pt>
                <c:pt idx="13">
                  <c:v>1.7311912904347859E-2</c:v>
                </c:pt>
                <c:pt idx="14">
                  <c:v>1.9341517565217292E-2</c:v>
                </c:pt>
                <c:pt idx="15">
                  <c:v>2.1461421495652111E-2</c:v>
                </c:pt>
                <c:pt idx="16">
                  <c:v>2.3671624695652094E-2</c:v>
                </c:pt>
                <c:pt idx="17">
                  <c:v>2.5972127165217351E-2</c:v>
                </c:pt>
                <c:pt idx="18">
                  <c:v>2.8362928904347773E-2</c:v>
                </c:pt>
                <c:pt idx="19">
                  <c:v>3.0844029913043414E-2</c:v>
                </c:pt>
                <c:pt idx="20">
                  <c:v>3.3415430191304274E-2</c:v>
                </c:pt>
                <c:pt idx="21">
                  <c:v>3.6077129739130354E-2</c:v>
                </c:pt>
                <c:pt idx="22">
                  <c:v>3.8829128556521708E-2</c:v>
                </c:pt>
                <c:pt idx="23">
                  <c:v>4.1671426643478227E-2</c:v>
                </c:pt>
                <c:pt idx="24">
                  <c:v>4.460402400000002E-2</c:v>
                </c:pt>
                <c:pt idx="25">
                  <c:v>4.7626920626086922E-2</c:v>
                </c:pt>
                <c:pt idx="26">
                  <c:v>5.0740116521739098E-2</c:v>
                </c:pt>
                <c:pt idx="27">
                  <c:v>5.3943611686956508E-2</c:v>
                </c:pt>
                <c:pt idx="28">
                  <c:v>5.7237406121739123E-2</c:v>
                </c:pt>
                <c:pt idx="29">
                  <c:v>6.0621499826086958E-2</c:v>
                </c:pt>
              </c:numCache>
            </c:numRef>
          </c:val>
          <c:extLst>
            <c:ext xmlns:c16="http://schemas.microsoft.com/office/drawing/2014/chart" uri="{C3380CC4-5D6E-409C-BE32-E72D297353CC}">
              <c16:uniqueId val="{00000001-00CF-4E4C-B8CE-CC420760089C}"/>
            </c:ext>
          </c:extLst>
        </c:ser>
        <c:ser>
          <c:idx val="2"/>
          <c:order val="2"/>
          <c:tx>
            <c:strRef>
              <c:f>'Main calculations'!$EF$10</c:f>
              <c:strCache>
                <c:ptCount val="1"/>
                <c:pt idx="0">
                  <c:v>80% BEV</c:v>
                </c:pt>
              </c:strCache>
            </c:strRef>
          </c:tx>
          <c:spPr>
            <a:solidFill>
              <a:srgbClr val="F2B800"/>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calculations'!$EF$11:$EF$40</c:f>
              <c:numCache>
                <c:formatCode>0.0%</c:formatCode>
                <c:ptCount val="30"/>
                <c:pt idx="0">
                  <c:v>0</c:v>
                </c:pt>
                <c:pt idx="1">
                  <c:v>0</c:v>
                </c:pt>
                <c:pt idx="2">
                  <c:v>9.460134260869113E-4</c:v>
                </c:pt>
                <c:pt idx="3">
                  <c:v>1.9823261217390975E-3</c:v>
                </c:pt>
                <c:pt idx="4">
                  <c:v>3.1089380869565586E-3</c:v>
                </c:pt>
                <c:pt idx="5">
                  <c:v>4.3258493217391836E-3</c:v>
                </c:pt>
                <c:pt idx="6">
                  <c:v>5.6330598260869724E-3</c:v>
                </c:pt>
                <c:pt idx="7">
                  <c:v>7.0305696000000362E-3</c:v>
                </c:pt>
                <c:pt idx="8">
                  <c:v>8.5183786434782638E-3</c:v>
                </c:pt>
                <c:pt idx="9">
                  <c:v>1.0096486956521766E-2</c:v>
                </c:pt>
                <c:pt idx="10">
                  <c:v>1.1764894539130433E-2</c:v>
                </c:pt>
                <c:pt idx="11">
                  <c:v>1.3523601391304374E-2</c:v>
                </c:pt>
                <c:pt idx="12">
                  <c:v>1.537260751304359E-2</c:v>
                </c:pt>
                <c:pt idx="13">
                  <c:v>1.7311912904347859E-2</c:v>
                </c:pt>
                <c:pt idx="14">
                  <c:v>1.9341517565217403E-2</c:v>
                </c:pt>
                <c:pt idx="15">
                  <c:v>2.1461421495652111E-2</c:v>
                </c:pt>
                <c:pt idx="16">
                  <c:v>2.3671624695652149E-2</c:v>
                </c:pt>
                <c:pt idx="17">
                  <c:v>2.5972127165217407E-2</c:v>
                </c:pt>
                <c:pt idx="18">
                  <c:v>2.8362928904347773E-2</c:v>
                </c:pt>
                <c:pt idx="19">
                  <c:v>3.0844029913043469E-2</c:v>
                </c:pt>
                <c:pt idx="20">
                  <c:v>3.3415430191304385E-2</c:v>
                </c:pt>
                <c:pt idx="21">
                  <c:v>3.6077129739130465E-2</c:v>
                </c:pt>
                <c:pt idx="22">
                  <c:v>3.8829128556521764E-2</c:v>
                </c:pt>
                <c:pt idx="23">
                  <c:v>4.1671426643478282E-2</c:v>
                </c:pt>
                <c:pt idx="24">
                  <c:v>4.4604024000000075E-2</c:v>
                </c:pt>
                <c:pt idx="25">
                  <c:v>4.7626920626087033E-2</c:v>
                </c:pt>
                <c:pt idx="26">
                  <c:v>5.0740116521739209E-2</c:v>
                </c:pt>
                <c:pt idx="27">
                  <c:v>5.3943611686956605E-2</c:v>
                </c:pt>
                <c:pt idx="28">
                  <c:v>5.723740612173922E-2</c:v>
                </c:pt>
                <c:pt idx="29">
                  <c:v>6.0621499826087125E-2</c:v>
                </c:pt>
              </c:numCache>
            </c:numRef>
          </c:val>
          <c:extLst>
            <c:ext xmlns:c16="http://schemas.microsoft.com/office/drawing/2014/chart" uri="{C3380CC4-5D6E-409C-BE32-E72D297353CC}">
              <c16:uniqueId val="{00000002-00CF-4E4C-B8CE-CC420760089C}"/>
            </c:ext>
          </c:extLst>
        </c:ser>
        <c:ser>
          <c:idx val="3"/>
          <c:order val="3"/>
          <c:tx>
            <c:strRef>
              <c:f>'Main calculations'!$EG$10</c:f>
              <c:strCache>
                <c:ptCount val="1"/>
                <c:pt idx="0">
                  <c:v>60% BEV</c:v>
                </c:pt>
              </c:strCache>
            </c:strRef>
          </c:tx>
          <c:spPr>
            <a:solidFill>
              <a:schemeClr val="accent4"/>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calculations'!$EG$11:$EG$40</c:f>
              <c:numCache>
                <c:formatCode>0.0%</c:formatCode>
                <c:ptCount val="30"/>
                <c:pt idx="0">
                  <c:v>0</c:v>
                </c:pt>
                <c:pt idx="1">
                  <c:v>0</c:v>
                </c:pt>
                <c:pt idx="2">
                  <c:v>9.460134260869113E-4</c:v>
                </c:pt>
                <c:pt idx="3">
                  <c:v>1.9823261217390975E-3</c:v>
                </c:pt>
                <c:pt idx="4">
                  <c:v>3.1089380869565586E-3</c:v>
                </c:pt>
                <c:pt idx="5">
                  <c:v>4.3258493217391836E-3</c:v>
                </c:pt>
                <c:pt idx="6">
                  <c:v>5.6330598260869724E-3</c:v>
                </c:pt>
                <c:pt idx="7">
                  <c:v>7.0305696000000362E-3</c:v>
                </c:pt>
                <c:pt idx="8">
                  <c:v>8.5183786434782638E-3</c:v>
                </c:pt>
                <c:pt idx="9">
                  <c:v>1.0096486956521766E-2</c:v>
                </c:pt>
                <c:pt idx="10">
                  <c:v>1.1764894539130433E-2</c:v>
                </c:pt>
                <c:pt idx="11">
                  <c:v>1.3523601391304374E-2</c:v>
                </c:pt>
                <c:pt idx="12">
                  <c:v>1.5372607513043479E-2</c:v>
                </c:pt>
                <c:pt idx="13">
                  <c:v>1.7311912904347859E-2</c:v>
                </c:pt>
                <c:pt idx="14">
                  <c:v>1.9341517565217292E-2</c:v>
                </c:pt>
                <c:pt idx="15">
                  <c:v>2.1461421495652111E-2</c:v>
                </c:pt>
                <c:pt idx="16">
                  <c:v>2.3671624695652094E-2</c:v>
                </c:pt>
                <c:pt idx="17">
                  <c:v>2.5972127165217351E-2</c:v>
                </c:pt>
                <c:pt idx="18">
                  <c:v>2.8362928904347773E-2</c:v>
                </c:pt>
                <c:pt idx="19">
                  <c:v>3.0844029913043469E-2</c:v>
                </c:pt>
                <c:pt idx="20">
                  <c:v>3.3415430191304329E-2</c:v>
                </c:pt>
                <c:pt idx="21">
                  <c:v>3.6077129739130409E-2</c:v>
                </c:pt>
                <c:pt idx="22">
                  <c:v>3.8829128556521708E-2</c:v>
                </c:pt>
                <c:pt idx="23">
                  <c:v>4.1671426643478227E-2</c:v>
                </c:pt>
                <c:pt idx="24">
                  <c:v>4.4604023999999964E-2</c:v>
                </c:pt>
                <c:pt idx="25">
                  <c:v>4.7626920626086922E-2</c:v>
                </c:pt>
                <c:pt idx="26">
                  <c:v>5.0740116521739098E-2</c:v>
                </c:pt>
                <c:pt idx="27">
                  <c:v>5.3943611686956494E-2</c:v>
                </c:pt>
                <c:pt idx="28">
                  <c:v>5.7237406121739137E-2</c:v>
                </c:pt>
                <c:pt idx="29">
                  <c:v>6.0621499826086916E-2</c:v>
                </c:pt>
              </c:numCache>
            </c:numRef>
          </c:val>
          <c:extLst>
            <c:ext xmlns:c16="http://schemas.microsoft.com/office/drawing/2014/chart" uri="{C3380CC4-5D6E-409C-BE32-E72D297353CC}">
              <c16:uniqueId val="{00000003-00CF-4E4C-B8CE-CC420760089C}"/>
            </c:ext>
          </c:extLst>
        </c:ser>
        <c:ser>
          <c:idx val="4"/>
          <c:order val="4"/>
          <c:tx>
            <c:strRef>
              <c:f>'Main calculations'!$EH$10</c:f>
              <c:strCache>
                <c:ptCount val="1"/>
                <c:pt idx="0">
                  <c:v>40%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calculations'!$EH$11:$EH$40</c:f>
              <c:numCache>
                <c:formatCode>0.0%</c:formatCode>
                <c:ptCount val="30"/>
                <c:pt idx="0">
                  <c:v>0</c:v>
                </c:pt>
                <c:pt idx="1">
                  <c:v>0</c:v>
                </c:pt>
                <c:pt idx="2">
                  <c:v>9.460134260869113E-4</c:v>
                </c:pt>
                <c:pt idx="3">
                  <c:v>1.9823261217390975E-3</c:v>
                </c:pt>
                <c:pt idx="4">
                  <c:v>3.1089380869565586E-3</c:v>
                </c:pt>
                <c:pt idx="5">
                  <c:v>4.3258493217391836E-3</c:v>
                </c:pt>
                <c:pt idx="6">
                  <c:v>5.6330598260869724E-3</c:v>
                </c:pt>
                <c:pt idx="7">
                  <c:v>7.0305696000000362E-3</c:v>
                </c:pt>
                <c:pt idx="8">
                  <c:v>8.5183786434782638E-3</c:v>
                </c:pt>
                <c:pt idx="9">
                  <c:v>1.0096486956521766E-2</c:v>
                </c:pt>
                <c:pt idx="10">
                  <c:v>1.1764894539130433E-2</c:v>
                </c:pt>
                <c:pt idx="11">
                  <c:v>1.3523601391304374E-2</c:v>
                </c:pt>
                <c:pt idx="12">
                  <c:v>1.5372607513043479E-2</c:v>
                </c:pt>
                <c:pt idx="13">
                  <c:v>1.7311912904347859E-2</c:v>
                </c:pt>
                <c:pt idx="14">
                  <c:v>1.9341517565217514E-2</c:v>
                </c:pt>
                <c:pt idx="15">
                  <c:v>2.1461421495652111E-2</c:v>
                </c:pt>
                <c:pt idx="16">
                  <c:v>2.3671624695652094E-2</c:v>
                </c:pt>
                <c:pt idx="17">
                  <c:v>2.5972127165217351E-2</c:v>
                </c:pt>
                <c:pt idx="18">
                  <c:v>2.8362928904347828E-2</c:v>
                </c:pt>
                <c:pt idx="19">
                  <c:v>3.0844029913043525E-2</c:v>
                </c:pt>
                <c:pt idx="20">
                  <c:v>3.3415430191304329E-2</c:v>
                </c:pt>
                <c:pt idx="21">
                  <c:v>3.6077129739130465E-2</c:v>
                </c:pt>
                <c:pt idx="22">
                  <c:v>3.8829128556521819E-2</c:v>
                </c:pt>
                <c:pt idx="23">
                  <c:v>4.1671426643478282E-2</c:v>
                </c:pt>
                <c:pt idx="24">
                  <c:v>4.460402400000002E-2</c:v>
                </c:pt>
                <c:pt idx="25">
                  <c:v>4.7626920626086977E-2</c:v>
                </c:pt>
                <c:pt idx="26">
                  <c:v>5.0740116521739154E-2</c:v>
                </c:pt>
                <c:pt idx="27">
                  <c:v>5.3943611686956605E-2</c:v>
                </c:pt>
                <c:pt idx="28">
                  <c:v>5.7237406121739193E-2</c:v>
                </c:pt>
                <c:pt idx="29">
                  <c:v>6.0621499826087027E-2</c:v>
                </c:pt>
              </c:numCache>
            </c:numRef>
          </c:val>
          <c:extLst>
            <c:ext xmlns:c16="http://schemas.microsoft.com/office/drawing/2014/chart" uri="{C3380CC4-5D6E-409C-BE32-E72D297353CC}">
              <c16:uniqueId val="{00000004-00CF-4E4C-B8CE-CC420760089C}"/>
            </c:ext>
          </c:extLst>
        </c:ser>
        <c:ser>
          <c:idx val="5"/>
          <c:order val="5"/>
          <c:tx>
            <c:strRef>
              <c:f>'Main calculations'!$EI$10</c:f>
              <c:strCache>
                <c:ptCount val="1"/>
                <c:pt idx="0">
                  <c:v>20% BEV</c:v>
                </c:pt>
              </c:strCache>
            </c:strRef>
          </c:tx>
          <c:spPr>
            <a:solidFill>
              <a:schemeClr val="accent4">
                <a:lumMod val="40000"/>
                <a:lumOff val="6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calculations'!$EI$11:$EI$40</c:f>
              <c:numCache>
                <c:formatCode>0.0%</c:formatCode>
                <c:ptCount val="30"/>
                <c:pt idx="0">
                  <c:v>0</c:v>
                </c:pt>
                <c:pt idx="1">
                  <c:v>0</c:v>
                </c:pt>
                <c:pt idx="2">
                  <c:v>4.6178449082123763E-4</c:v>
                </c:pt>
                <c:pt idx="3">
                  <c:v>9.687186164251127E-4</c:v>
                </c:pt>
                <c:pt idx="4">
                  <c:v>1.5208023768116252E-3</c:v>
                </c:pt>
                <c:pt idx="5">
                  <c:v>2.1180357719806642E-3</c:v>
                </c:pt>
                <c:pt idx="6">
                  <c:v>2.7604188019324516E-3</c:v>
                </c:pt>
                <c:pt idx="7">
                  <c:v>3.4479514666666544E-3</c:v>
                </c:pt>
                <c:pt idx="8">
                  <c:v>4.1806337661836057E-3</c:v>
                </c:pt>
                <c:pt idx="9">
                  <c:v>4.9584657004831945E-3</c:v>
                </c:pt>
                <c:pt idx="10">
                  <c:v>5.7814472695651986E-3</c:v>
                </c:pt>
                <c:pt idx="11">
                  <c:v>6.6495784734300623E-3</c:v>
                </c:pt>
                <c:pt idx="12">
                  <c:v>7.5628593120772303E-3</c:v>
                </c:pt>
                <c:pt idx="13">
                  <c:v>8.5212897855072578E-3</c:v>
                </c:pt>
                <c:pt idx="14">
                  <c:v>9.5248698937198117E-3</c:v>
                </c:pt>
                <c:pt idx="15">
                  <c:v>1.0573599636715003E-2</c:v>
                </c:pt>
                <c:pt idx="16">
                  <c:v>1.1667479014492721E-2</c:v>
                </c:pt>
                <c:pt idx="17">
                  <c:v>1.2806508027053187E-2</c:v>
                </c:pt>
                <c:pt idx="18">
                  <c:v>1.399068667439618E-2</c:v>
                </c:pt>
                <c:pt idx="19">
                  <c:v>1.5220014956521755E-2</c:v>
                </c:pt>
                <c:pt idx="20">
                  <c:v>1.6494492873429967E-2</c:v>
                </c:pt>
                <c:pt idx="21">
                  <c:v>1.7814120425120761E-2</c:v>
                </c:pt>
                <c:pt idx="22">
                  <c:v>1.9178897611594248E-2</c:v>
                </c:pt>
                <c:pt idx="23">
                  <c:v>2.0588824432850317E-2</c:v>
                </c:pt>
                <c:pt idx="24">
                  <c:v>2.2043900888888912E-2</c:v>
                </c:pt>
                <c:pt idx="25">
                  <c:v>2.3544126979710089E-2</c:v>
                </c:pt>
                <c:pt idx="26">
                  <c:v>2.5089502705314071E-2</c:v>
                </c:pt>
                <c:pt idx="27">
                  <c:v>2.6680028065700523E-2</c:v>
                </c:pt>
                <c:pt idx="28">
                  <c:v>2.8315703060869613E-2</c:v>
                </c:pt>
                <c:pt idx="29">
                  <c:v>2.9996527690821284E-2</c:v>
                </c:pt>
              </c:numCache>
            </c:numRef>
          </c:val>
          <c:extLst>
            <c:ext xmlns:c16="http://schemas.microsoft.com/office/drawing/2014/chart" uri="{C3380CC4-5D6E-409C-BE32-E72D297353CC}">
              <c16:uniqueId val="{00000005-00CF-4E4C-B8CE-CC420760089C}"/>
            </c:ext>
          </c:extLst>
        </c:ser>
        <c:ser>
          <c:idx val="6"/>
          <c:order val="6"/>
          <c:tx>
            <c:strRef>
              <c:f>'Main calculations'!$EJ$10</c:f>
              <c:strCache>
                <c:ptCount val="1"/>
                <c:pt idx="0">
                  <c:v>10% BEV</c:v>
                </c:pt>
              </c:strCache>
            </c:strRef>
          </c:tx>
          <c:spPr>
            <a:solidFill>
              <a:schemeClr val="accent4">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calculations'!$EJ$11:$EJ$40</c:f>
              <c:numCache>
                <c:formatCode>0.0%</c:formatCode>
                <c:ptCount val="30"/>
                <c:pt idx="0">
                  <c:v>0</c:v>
                </c:pt>
                <c:pt idx="1">
                  <c:v>0</c:v>
                </c:pt>
                <c:pt idx="2">
                  <c:v>4.6178449082123763E-4</c:v>
                </c:pt>
                <c:pt idx="3">
                  <c:v>9.687186164251127E-4</c:v>
                </c:pt>
                <c:pt idx="4">
                  <c:v>1.5208023768116252E-3</c:v>
                </c:pt>
                <c:pt idx="5">
                  <c:v>2.1180357719806642E-3</c:v>
                </c:pt>
                <c:pt idx="6">
                  <c:v>2.7604188019323406E-3</c:v>
                </c:pt>
                <c:pt idx="7">
                  <c:v>3.4479514666666544E-3</c:v>
                </c:pt>
                <c:pt idx="8">
                  <c:v>4.1806337661836057E-3</c:v>
                </c:pt>
                <c:pt idx="9">
                  <c:v>4.9584657004830834E-3</c:v>
                </c:pt>
                <c:pt idx="10">
                  <c:v>5.7814472695651986E-3</c:v>
                </c:pt>
                <c:pt idx="11">
                  <c:v>6.6495784734298402E-3</c:v>
                </c:pt>
                <c:pt idx="12">
                  <c:v>7.5628593120772303E-3</c:v>
                </c:pt>
                <c:pt idx="13">
                  <c:v>8.5212897855072578E-3</c:v>
                </c:pt>
                <c:pt idx="14">
                  <c:v>9.5248698937198117E-3</c:v>
                </c:pt>
                <c:pt idx="15">
                  <c:v>1.0573599636714892E-2</c:v>
                </c:pt>
                <c:pt idx="16">
                  <c:v>1.1667479014492721E-2</c:v>
                </c:pt>
                <c:pt idx="17">
                  <c:v>1.2806508027053076E-2</c:v>
                </c:pt>
                <c:pt idx="18">
                  <c:v>1.3990686674396069E-2</c:v>
                </c:pt>
                <c:pt idx="19">
                  <c:v>1.5220014956521699E-2</c:v>
                </c:pt>
                <c:pt idx="20">
                  <c:v>1.6494492873429967E-2</c:v>
                </c:pt>
                <c:pt idx="21">
                  <c:v>1.7814120425120761E-2</c:v>
                </c:pt>
                <c:pt idx="22">
                  <c:v>1.9178897611594192E-2</c:v>
                </c:pt>
                <c:pt idx="23">
                  <c:v>2.0588824432850261E-2</c:v>
                </c:pt>
                <c:pt idx="24">
                  <c:v>2.2043900888888857E-2</c:v>
                </c:pt>
                <c:pt idx="25">
                  <c:v>2.3544126979710145E-2</c:v>
                </c:pt>
                <c:pt idx="26">
                  <c:v>2.508950270531396E-2</c:v>
                </c:pt>
                <c:pt idx="27">
                  <c:v>2.6680028065700467E-2</c:v>
                </c:pt>
                <c:pt idx="28">
                  <c:v>2.8315703060869557E-2</c:v>
                </c:pt>
                <c:pt idx="29">
                  <c:v>2.9996527690821284E-2</c:v>
                </c:pt>
              </c:numCache>
            </c:numRef>
          </c:val>
          <c:extLst>
            <c:ext xmlns:c16="http://schemas.microsoft.com/office/drawing/2014/chart" uri="{C3380CC4-5D6E-409C-BE32-E72D297353CC}">
              <c16:uniqueId val="{00000006-00CF-4E4C-B8CE-CC420760089C}"/>
            </c:ext>
          </c:extLst>
        </c:ser>
        <c:ser>
          <c:idx val="7"/>
          <c:order val="7"/>
          <c:tx>
            <c:strRef>
              <c:f>'Main calculations'!$EK$10</c:f>
              <c:strCache>
                <c:ptCount val="1"/>
                <c:pt idx="0">
                  <c:v>ICE fuel efficiency@0%BEV</c:v>
                </c:pt>
              </c:strCache>
            </c:strRef>
          </c:tx>
          <c:spPr>
            <a:solidFill>
              <a:schemeClr val="accent1">
                <a:lumMod val="20000"/>
                <a:lumOff val="8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calculations'!$EK$11:$EK$40</c:f>
              <c:numCache>
                <c:formatCode>0.0%</c:formatCode>
                <c:ptCount val="30"/>
                <c:pt idx="0">
                  <c:v>4.99058823529408E-3</c:v>
                </c:pt>
                <c:pt idx="1">
                  <c:v>9.9811764705882711E-3</c:v>
                </c:pt>
                <c:pt idx="2">
                  <c:v>1.4971764705882351E-2</c:v>
                </c:pt>
                <c:pt idx="3">
                  <c:v>1.9962352941176431E-2</c:v>
                </c:pt>
                <c:pt idx="4">
                  <c:v>2.4952941176470622E-2</c:v>
                </c:pt>
                <c:pt idx="5">
                  <c:v>2.9943529411764702E-2</c:v>
                </c:pt>
                <c:pt idx="6">
                  <c:v>3.4934117647058782E-2</c:v>
                </c:pt>
                <c:pt idx="7">
                  <c:v>3.9924705882352973E-2</c:v>
                </c:pt>
                <c:pt idx="8">
                  <c:v>4.4915294117647053E-2</c:v>
                </c:pt>
                <c:pt idx="9">
                  <c:v>4.9905882352941133E-2</c:v>
                </c:pt>
                <c:pt idx="10">
                  <c:v>5.4896470588235213E-2</c:v>
                </c:pt>
                <c:pt idx="11">
                  <c:v>5.9887058823529404E-2</c:v>
                </c:pt>
                <c:pt idx="12">
                  <c:v>6.4877647058823484E-2</c:v>
                </c:pt>
                <c:pt idx="13">
                  <c:v>6.9868235294117564E-2</c:v>
                </c:pt>
                <c:pt idx="14">
                  <c:v>7.4858823529411755E-2</c:v>
                </c:pt>
                <c:pt idx="15">
                  <c:v>7.9849411764705835E-2</c:v>
                </c:pt>
                <c:pt idx="16">
                  <c:v>8.4840000000000027E-2</c:v>
                </c:pt>
                <c:pt idx="17">
                  <c:v>8.4839999999999915E-2</c:v>
                </c:pt>
                <c:pt idx="18">
                  <c:v>8.4840000000000027E-2</c:v>
                </c:pt>
                <c:pt idx="19">
                  <c:v>8.4839999999999915E-2</c:v>
                </c:pt>
                <c:pt idx="20">
                  <c:v>8.4840000000000027E-2</c:v>
                </c:pt>
                <c:pt idx="21">
                  <c:v>8.4839999999999971E-2</c:v>
                </c:pt>
                <c:pt idx="22">
                  <c:v>8.4839999999999971E-2</c:v>
                </c:pt>
                <c:pt idx="23">
                  <c:v>8.4839999999999971E-2</c:v>
                </c:pt>
                <c:pt idx="24">
                  <c:v>8.4839999999999971E-2</c:v>
                </c:pt>
                <c:pt idx="25">
                  <c:v>8.4839999999999971E-2</c:v>
                </c:pt>
                <c:pt idx="26">
                  <c:v>8.4839999999999971E-2</c:v>
                </c:pt>
                <c:pt idx="27">
                  <c:v>8.4839999999999971E-2</c:v>
                </c:pt>
                <c:pt idx="28">
                  <c:v>8.4839999999999971E-2</c:v>
                </c:pt>
                <c:pt idx="29">
                  <c:v>8.4839999999999971E-2</c:v>
                </c:pt>
              </c:numCache>
            </c:numRef>
          </c:val>
          <c:extLst>
            <c:ext xmlns:c16="http://schemas.microsoft.com/office/drawing/2014/chart" uri="{C3380CC4-5D6E-409C-BE32-E72D297353CC}">
              <c16:uniqueId val="{00000007-00CF-4E4C-B8CE-CC420760089C}"/>
            </c:ext>
          </c:extLst>
        </c:ser>
        <c:ser>
          <c:idx val="8"/>
          <c:order val="8"/>
          <c:tx>
            <c:strRef>
              <c:f>'Main calculations'!$EL$10</c:f>
              <c:strCache>
                <c:ptCount val="1"/>
                <c:pt idx="0">
                  <c:v>Car to PT / Carpool</c:v>
                </c:pt>
              </c:strCache>
            </c:strRef>
          </c:tx>
          <c:spPr>
            <a:solidFill>
              <a:schemeClr val="accent6">
                <a:lumMod val="75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calculations'!$EL$11:$EL$40</c:f>
              <c:numCache>
                <c:formatCode>0.0%</c:formatCode>
                <c:ptCount val="30"/>
                <c:pt idx="0">
                  <c:v>8.1751824817518637E-3</c:v>
                </c:pt>
                <c:pt idx="1">
                  <c:v>1.6350364963503616E-2</c:v>
                </c:pt>
                <c:pt idx="2">
                  <c:v>2.452554744525548E-2</c:v>
                </c:pt>
                <c:pt idx="3">
                  <c:v>3.2700729927007344E-2</c:v>
                </c:pt>
                <c:pt idx="4">
                  <c:v>4.0875912408759096E-2</c:v>
                </c:pt>
                <c:pt idx="5">
                  <c:v>4.905109489051096E-2</c:v>
                </c:pt>
                <c:pt idx="6">
                  <c:v>5.7226277372262824E-2</c:v>
                </c:pt>
                <c:pt idx="7">
                  <c:v>6.5401459854014576E-2</c:v>
                </c:pt>
                <c:pt idx="8">
                  <c:v>7.357664233576644E-2</c:v>
                </c:pt>
                <c:pt idx="9">
                  <c:v>8.1751824817518193E-2</c:v>
                </c:pt>
                <c:pt idx="10">
                  <c:v>8.9927007299270056E-2</c:v>
                </c:pt>
                <c:pt idx="11">
                  <c:v>9.810218978102192E-2</c:v>
                </c:pt>
                <c:pt idx="12">
                  <c:v>0.10627737226277367</c:v>
                </c:pt>
                <c:pt idx="13">
                  <c:v>0.11445255474452554</c:v>
                </c:pt>
                <c:pt idx="14">
                  <c:v>0.1226277372262774</c:v>
                </c:pt>
                <c:pt idx="15">
                  <c:v>0.13080291970802915</c:v>
                </c:pt>
                <c:pt idx="16">
                  <c:v>0.13897810218978102</c:v>
                </c:pt>
                <c:pt idx="17">
                  <c:v>0.14715328467153288</c:v>
                </c:pt>
                <c:pt idx="18">
                  <c:v>0.15532846715328463</c:v>
                </c:pt>
                <c:pt idx="19">
                  <c:v>0.1635036496350365</c:v>
                </c:pt>
                <c:pt idx="20">
                  <c:v>0.17167883211678836</c:v>
                </c:pt>
                <c:pt idx="21">
                  <c:v>0.17985401459854022</c:v>
                </c:pt>
                <c:pt idx="22">
                  <c:v>0.18802919708029198</c:v>
                </c:pt>
                <c:pt idx="23">
                  <c:v>0.19620437956204384</c:v>
                </c:pt>
                <c:pt idx="24">
                  <c:v>0.2043795620437957</c:v>
                </c:pt>
                <c:pt idx="25">
                  <c:v>0.21255474452554757</c:v>
                </c:pt>
                <c:pt idx="26">
                  <c:v>0.22072992700729938</c:v>
                </c:pt>
                <c:pt idx="27">
                  <c:v>0.22890510948905118</c:v>
                </c:pt>
                <c:pt idx="28">
                  <c:v>0.23708029197080305</c:v>
                </c:pt>
                <c:pt idx="29">
                  <c:v>0.24525547445255491</c:v>
                </c:pt>
              </c:numCache>
            </c:numRef>
          </c:val>
          <c:extLst>
            <c:ext xmlns:c16="http://schemas.microsoft.com/office/drawing/2014/chart" uri="{C3380CC4-5D6E-409C-BE32-E72D297353CC}">
              <c16:uniqueId val="{00000008-00CF-4E4C-B8CE-CC420760089C}"/>
            </c:ext>
          </c:extLst>
        </c:ser>
        <c:ser>
          <c:idx val="9"/>
          <c:order val="9"/>
          <c:tx>
            <c:strRef>
              <c:f>'Main calculations'!$EM$10</c:f>
              <c:strCache>
                <c:ptCount val="1"/>
                <c:pt idx="0">
                  <c:v>Car to Cycle / PT</c:v>
                </c:pt>
              </c:strCache>
            </c:strRef>
          </c:tx>
          <c:spPr>
            <a:solidFill>
              <a:schemeClr val="accent6">
                <a:lumMod val="60000"/>
                <a:lumOff val="40000"/>
              </a:schemeClr>
            </a:solidFill>
            <a:ln>
              <a:noFill/>
            </a:ln>
            <a:effectLst/>
          </c:spPr>
          <c:dLbls>
            <c:dLbl>
              <c:idx val="0"/>
              <c:layout>
                <c:manualLayout>
                  <c:x val="0.10158141983484476"/>
                  <c:y val="1.389645716936826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00CF-4E4C-B8CE-CC42076008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calculations'!$EM$11:$EM$40</c:f>
              <c:numCache>
                <c:formatCode>0.0%</c:formatCode>
                <c:ptCount val="30"/>
                <c:pt idx="0">
                  <c:v>3.4793187347932353E-3</c:v>
                </c:pt>
                <c:pt idx="1">
                  <c:v>6.9586374695863595E-3</c:v>
                </c:pt>
                <c:pt idx="2">
                  <c:v>1.0437956204379595E-2</c:v>
                </c:pt>
                <c:pt idx="3">
                  <c:v>1.3917274939172719E-2</c:v>
                </c:pt>
                <c:pt idx="4">
                  <c:v>1.7396593673965954E-2</c:v>
                </c:pt>
                <c:pt idx="5">
                  <c:v>2.0875912408759079E-2</c:v>
                </c:pt>
                <c:pt idx="6">
                  <c:v>2.4355231143552314E-2</c:v>
                </c:pt>
                <c:pt idx="7">
                  <c:v>2.7834549878345549E-2</c:v>
                </c:pt>
                <c:pt idx="8">
                  <c:v>3.1313868613138673E-2</c:v>
                </c:pt>
                <c:pt idx="9">
                  <c:v>3.4793187347931909E-2</c:v>
                </c:pt>
                <c:pt idx="10">
                  <c:v>3.8272506082725033E-2</c:v>
                </c:pt>
                <c:pt idx="11">
                  <c:v>4.1751824817518268E-2</c:v>
                </c:pt>
                <c:pt idx="12">
                  <c:v>4.5231143552311392E-2</c:v>
                </c:pt>
                <c:pt idx="13">
                  <c:v>4.8710462287104628E-2</c:v>
                </c:pt>
                <c:pt idx="14">
                  <c:v>5.2189781021897752E-2</c:v>
                </c:pt>
                <c:pt idx="15">
                  <c:v>5.5669099756690987E-2</c:v>
                </c:pt>
                <c:pt idx="16">
                  <c:v>5.9148418491484223E-2</c:v>
                </c:pt>
                <c:pt idx="17">
                  <c:v>6.2627737226277347E-2</c:v>
                </c:pt>
                <c:pt idx="18">
                  <c:v>6.6107055961070582E-2</c:v>
                </c:pt>
                <c:pt idx="19">
                  <c:v>6.9586374695863706E-2</c:v>
                </c:pt>
                <c:pt idx="20">
                  <c:v>7.3065693430656942E-2</c:v>
                </c:pt>
                <c:pt idx="21">
                  <c:v>7.6545012165450177E-2</c:v>
                </c:pt>
                <c:pt idx="22">
                  <c:v>8.0024330900243301E-2</c:v>
                </c:pt>
                <c:pt idx="23">
                  <c:v>8.3503649635036536E-2</c:v>
                </c:pt>
                <c:pt idx="24">
                  <c:v>8.6982968369829772E-2</c:v>
                </c:pt>
                <c:pt idx="25">
                  <c:v>9.0462287104622896E-2</c:v>
                </c:pt>
                <c:pt idx="26">
                  <c:v>9.3941605839416131E-2</c:v>
                </c:pt>
                <c:pt idx="27">
                  <c:v>9.7420924574209256E-2</c:v>
                </c:pt>
                <c:pt idx="28">
                  <c:v>0.10090024330900249</c:v>
                </c:pt>
                <c:pt idx="29">
                  <c:v>0.10437956204379573</c:v>
                </c:pt>
              </c:numCache>
            </c:numRef>
          </c:val>
          <c:extLst>
            <c:ext xmlns:c16="http://schemas.microsoft.com/office/drawing/2014/chart" uri="{C3380CC4-5D6E-409C-BE32-E72D297353CC}">
              <c16:uniqueId val="{0000000A-00CF-4E4C-B8CE-CC420760089C}"/>
            </c:ext>
          </c:extLst>
        </c:ser>
        <c:ser>
          <c:idx val="10"/>
          <c:order val="10"/>
          <c:tx>
            <c:strRef>
              <c:f>'Main calculations'!$EN$10</c:f>
              <c:strCache>
                <c:ptCount val="1"/>
                <c:pt idx="0">
                  <c:v>Car to Walk / Cycle</c:v>
                </c:pt>
              </c:strCache>
            </c:strRef>
          </c:tx>
          <c:spPr>
            <a:solidFill>
              <a:schemeClr val="accent6">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calculations'!$EN$11:$EN$40</c:f>
              <c:numCache>
                <c:formatCode>0.0%</c:formatCode>
                <c:ptCount val="30"/>
                <c:pt idx="0">
                  <c:v>1.6788321167883202E-3</c:v>
                </c:pt>
                <c:pt idx="1">
                  <c:v>3.3576642335766405E-3</c:v>
                </c:pt>
                <c:pt idx="2">
                  <c:v>5.0364963503649607E-3</c:v>
                </c:pt>
                <c:pt idx="3">
                  <c:v>6.7153284671532809E-3</c:v>
                </c:pt>
                <c:pt idx="4">
                  <c:v>8.3941605839416011E-3</c:v>
                </c:pt>
                <c:pt idx="5">
                  <c:v>1.0072992700729921E-2</c:v>
                </c:pt>
                <c:pt idx="6">
                  <c:v>1.1751824817518242E-2</c:v>
                </c:pt>
                <c:pt idx="7">
                  <c:v>1.3430656934306562E-2</c:v>
                </c:pt>
                <c:pt idx="8">
                  <c:v>1.5109489051094882E-2</c:v>
                </c:pt>
                <c:pt idx="9">
                  <c:v>1.6788321167883202E-2</c:v>
                </c:pt>
                <c:pt idx="10">
                  <c:v>1.8467153284671523E-2</c:v>
                </c:pt>
                <c:pt idx="11">
                  <c:v>2.0145985401459843E-2</c:v>
                </c:pt>
                <c:pt idx="12">
                  <c:v>2.1824817518248163E-2</c:v>
                </c:pt>
                <c:pt idx="13">
                  <c:v>2.3503649635036483E-2</c:v>
                </c:pt>
                <c:pt idx="14">
                  <c:v>2.5182481751824803E-2</c:v>
                </c:pt>
                <c:pt idx="15">
                  <c:v>2.6861313868613124E-2</c:v>
                </c:pt>
                <c:pt idx="16">
                  <c:v>2.8540145985401444E-2</c:v>
                </c:pt>
                <c:pt idx="17">
                  <c:v>3.0218978102189764E-2</c:v>
                </c:pt>
                <c:pt idx="18">
                  <c:v>3.1897810218978084E-2</c:v>
                </c:pt>
                <c:pt idx="19">
                  <c:v>3.3576642335766405E-2</c:v>
                </c:pt>
                <c:pt idx="20">
                  <c:v>3.5255474452554725E-2</c:v>
                </c:pt>
                <c:pt idx="21">
                  <c:v>3.6934306569343045E-2</c:v>
                </c:pt>
                <c:pt idx="22">
                  <c:v>3.8613138686131365E-2</c:v>
                </c:pt>
                <c:pt idx="23">
                  <c:v>4.0291970802919685E-2</c:v>
                </c:pt>
                <c:pt idx="24">
                  <c:v>4.1970802919708006E-2</c:v>
                </c:pt>
                <c:pt idx="25">
                  <c:v>4.3649635036496326E-2</c:v>
                </c:pt>
                <c:pt idx="26">
                  <c:v>4.5328467153284646E-2</c:v>
                </c:pt>
                <c:pt idx="27">
                  <c:v>4.7007299270072966E-2</c:v>
                </c:pt>
                <c:pt idx="28">
                  <c:v>4.8686131386861287E-2</c:v>
                </c:pt>
                <c:pt idx="29">
                  <c:v>5.0364963503649607E-2</c:v>
                </c:pt>
              </c:numCache>
            </c:numRef>
          </c:val>
          <c:extLst>
            <c:ext xmlns:c16="http://schemas.microsoft.com/office/drawing/2014/chart" uri="{C3380CC4-5D6E-409C-BE32-E72D297353CC}">
              <c16:uniqueId val="{0000000B-00CF-4E4C-B8CE-CC420760089C}"/>
            </c:ext>
          </c:extLst>
        </c:ser>
        <c:ser>
          <c:idx val="11"/>
          <c:order val="11"/>
          <c:tx>
            <c:strRef>
              <c:f>'Main calculations'!$EO$10</c:f>
              <c:strCache>
                <c:ptCount val="1"/>
                <c:pt idx="0">
                  <c:v>Localisation</c:v>
                </c:pt>
              </c:strCache>
            </c:strRef>
          </c:tx>
          <c:spPr>
            <a:solidFill>
              <a:schemeClr val="accent2"/>
            </a:solidFill>
            <a:ln>
              <a:noFill/>
            </a:ln>
            <a:effectLst/>
          </c:spPr>
          <c:dLbls>
            <c:dLbl>
              <c:idx val="0"/>
              <c:layout>
                <c:manualLayout>
                  <c:x val="0.26616610367873317"/>
                  <c:y val="1.621253336426296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00CF-4E4C-B8CE-CC42076008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calculations'!$EO$11:$EO$40</c:f>
              <c:numCache>
                <c:formatCode>0.0%</c:formatCode>
                <c:ptCount val="30"/>
                <c:pt idx="0">
                  <c:v>0</c:v>
                </c:pt>
                <c:pt idx="1">
                  <c:v>0</c:v>
                </c:pt>
                <c:pt idx="2">
                  <c:v>0</c:v>
                </c:pt>
                <c:pt idx="3">
                  <c:v>0</c:v>
                </c:pt>
                <c:pt idx="4">
                  <c:v>0</c:v>
                </c:pt>
                <c:pt idx="5">
                  <c:v>0</c:v>
                </c:pt>
                <c:pt idx="6">
                  <c:v>0</c:v>
                </c:pt>
                <c:pt idx="7">
                  <c:v>0</c:v>
                </c:pt>
                <c:pt idx="8">
                  <c:v>0</c:v>
                </c:pt>
                <c:pt idx="9">
                  <c:v>3.2142857142857251E-3</c:v>
                </c:pt>
                <c:pt idx="10">
                  <c:v>6.4285714285714501E-3</c:v>
                </c:pt>
                <c:pt idx="11">
                  <c:v>9.6428571428571752E-3</c:v>
                </c:pt>
                <c:pt idx="12">
                  <c:v>1.28571428571429E-2</c:v>
                </c:pt>
                <c:pt idx="13">
                  <c:v>1.6071428571428625E-2</c:v>
                </c:pt>
                <c:pt idx="14">
                  <c:v>1.9285714285714239E-2</c:v>
                </c:pt>
                <c:pt idx="15">
                  <c:v>2.2499999999999964E-2</c:v>
                </c:pt>
                <c:pt idx="16">
                  <c:v>2.571428571428569E-2</c:v>
                </c:pt>
                <c:pt idx="17">
                  <c:v>2.8928571428571415E-2</c:v>
                </c:pt>
                <c:pt idx="18">
                  <c:v>3.214285714285714E-2</c:v>
                </c:pt>
                <c:pt idx="19">
                  <c:v>3.5357142857142865E-2</c:v>
                </c:pt>
                <c:pt idx="20">
                  <c:v>3.857142857142859E-2</c:v>
                </c:pt>
                <c:pt idx="21">
                  <c:v>4.1785714285714315E-2</c:v>
                </c:pt>
                <c:pt idx="22">
                  <c:v>4.500000000000004E-2</c:v>
                </c:pt>
                <c:pt idx="23">
                  <c:v>4.8214285714285765E-2</c:v>
                </c:pt>
                <c:pt idx="24">
                  <c:v>5.1428571428571379E-2</c:v>
                </c:pt>
                <c:pt idx="25">
                  <c:v>5.4642857142857104E-2</c:v>
                </c:pt>
                <c:pt idx="26">
                  <c:v>5.7857142857142829E-2</c:v>
                </c:pt>
                <c:pt idx="27">
                  <c:v>6.1071428571428554E-2</c:v>
                </c:pt>
                <c:pt idx="28">
                  <c:v>6.4285714285714279E-2</c:v>
                </c:pt>
                <c:pt idx="29">
                  <c:v>6.7500000000000004E-2</c:v>
                </c:pt>
              </c:numCache>
            </c:numRef>
          </c:val>
          <c:extLst>
            <c:ext xmlns:c16="http://schemas.microsoft.com/office/drawing/2014/chart" uri="{C3380CC4-5D6E-409C-BE32-E72D297353CC}">
              <c16:uniqueId val="{0000000C-00CF-4E4C-B8CE-CC420760089C}"/>
            </c:ext>
          </c:extLst>
        </c:ser>
        <c:ser>
          <c:idx val="12"/>
          <c:order val="12"/>
          <c:tx>
            <c:strRef>
              <c:f>'Main calculations'!$EP$10</c:f>
              <c:strCache>
                <c:ptCount val="1"/>
                <c:pt idx="0">
                  <c:v>Home delivery</c:v>
                </c:pt>
              </c:strCache>
            </c:strRef>
          </c:tx>
          <c:spPr>
            <a:solidFill>
              <a:schemeClr val="accent2">
                <a:lumMod val="60000"/>
                <a:lumOff val="40000"/>
              </a:schemeClr>
            </a:solidFill>
            <a:ln>
              <a:noFill/>
            </a:ln>
            <a:effectLst/>
          </c:spPr>
          <c:dLbls>
            <c:dLbl>
              <c:idx val="0"/>
              <c:layout>
                <c:manualLayout>
                  <c:x val="0.20316780845782267"/>
                  <c:y val="2.334860119939920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00CF-4E4C-B8CE-CC42076008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calculations'!$EP$11:$EP$40</c:f>
              <c:numCache>
                <c:formatCode>0.0%</c:formatCode>
                <c:ptCount val="30"/>
                <c:pt idx="0">
                  <c:v>0</c:v>
                </c:pt>
                <c:pt idx="1">
                  <c:v>0</c:v>
                </c:pt>
                <c:pt idx="2">
                  <c:v>0</c:v>
                </c:pt>
                <c:pt idx="3">
                  <c:v>0</c:v>
                </c:pt>
                <c:pt idx="4">
                  <c:v>8.6538461538465672E-4</c:v>
                </c:pt>
                <c:pt idx="5">
                  <c:v>1.7307692307692024E-3</c:v>
                </c:pt>
                <c:pt idx="6">
                  <c:v>2.5961538461538591E-3</c:v>
                </c:pt>
                <c:pt idx="7">
                  <c:v>3.4615384615385159E-3</c:v>
                </c:pt>
                <c:pt idx="8">
                  <c:v>4.3269230769230616E-3</c:v>
                </c:pt>
                <c:pt idx="9">
                  <c:v>5.1923076923077183E-3</c:v>
                </c:pt>
                <c:pt idx="10">
                  <c:v>6.057692307692264E-3</c:v>
                </c:pt>
                <c:pt idx="11">
                  <c:v>6.9230769230769207E-3</c:v>
                </c:pt>
                <c:pt idx="12">
                  <c:v>7.7884615384615774E-3</c:v>
                </c:pt>
                <c:pt idx="13">
                  <c:v>8.6538461538461231E-3</c:v>
                </c:pt>
                <c:pt idx="14">
                  <c:v>9.5192307692307798E-3</c:v>
                </c:pt>
                <c:pt idx="15">
                  <c:v>1.0384615384615437E-2</c:v>
                </c:pt>
                <c:pt idx="16">
                  <c:v>1.1249999999999982E-2</c:v>
                </c:pt>
                <c:pt idx="17">
                  <c:v>1.2115384615384639E-2</c:v>
                </c:pt>
                <c:pt idx="18">
                  <c:v>1.2980769230769185E-2</c:v>
                </c:pt>
                <c:pt idx="19">
                  <c:v>1.3846153846153841E-2</c:v>
                </c:pt>
                <c:pt idx="20">
                  <c:v>1.4711538461538498E-2</c:v>
                </c:pt>
                <c:pt idx="21">
                  <c:v>1.5576923076923044E-2</c:v>
                </c:pt>
                <c:pt idx="22">
                  <c:v>1.6442307692307701E-2</c:v>
                </c:pt>
                <c:pt idx="23">
                  <c:v>1.7307692307692357E-2</c:v>
                </c:pt>
                <c:pt idx="24">
                  <c:v>1.8173076923076903E-2</c:v>
                </c:pt>
                <c:pt idx="25">
                  <c:v>1.903846153846156E-2</c:v>
                </c:pt>
                <c:pt idx="26">
                  <c:v>1.9903846153846105E-2</c:v>
                </c:pt>
                <c:pt idx="27">
                  <c:v>2.0769230769230762E-2</c:v>
                </c:pt>
                <c:pt idx="28">
                  <c:v>2.1634615384615419E-2</c:v>
                </c:pt>
                <c:pt idx="29">
                  <c:v>2.2499999999999964E-2</c:v>
                </c:pt>
              </c:numCache>
            </c:numRef>
          </c:val>
          <c:extLst>
            <c:ext xmlns:c16="http://schemas.microsoft.com/office/drawing/2014/chart" uri="{C3380CC4-5D6E-409C-BE32-E72D297353CC}">
              <c16:uniqueId val="{0000000D-00CF-4E4C-B8CE-CC420760089C}"/>
            </c:ext>
          </c:extLst>
        </c:ser>
        <c:ser>
          <c:idx val="13"/>
          <c:order val="13"/>
          <c:tx>
            <c:strRef>
              <c:f>'Main calculations'!$EQ$10</c:f>
              <c:strCache>
                <c:ptCount val="1"/>
                <c:pt idx="0">
                  <c:v>Online / Teleservices</c:v>
                </c:pt>
              </c:strCache>
            </c:strRef>
          </c:tx>
          <c:spPr>
            <a:solidFill>
              <a:schemeClr val="accent2">
                <a:lumMod val="40000"/>
                <a:lumOff val="60000"/>
              </a:schemeClr>
            </a:solidFill>
            <a:ln>
              <a:noFill/>
            </a:ln>
            <a:effectLst/>
          </c:spPr>
          <c:dLbls>
            <c:dLbl>
              <c:idx val="0"/>
              <c:layout>
                <c:manualLayout>
                  <c:x val="9.0710573828819113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00CF-4E4C-B8CE-CC42076008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calculations'!$EQ$11:$EQ$40</c:f>
              <c:numCache>
                <c:formatCode>0.0%</c:formatCode>
                <c:ptCount val="30"/>
                <c:pt idx="0">
                  <c:v>0</c:v>
                </c:pt>
                <c:pt idx="1">
                  <c:v>0</c:v>
                </c:pt>
                <c:pt idx="2">
                  <c:v>2.4999999999997247E-4</c:v>
                </c:pt>
                <c:pt idx="3">
                  <c:v>4.9999999999994493E-4</c:v>
                </c:pt>
                <c:pt idx="4">
                  <c:v>7.5000000000002842E-4</c:v>
                </c:pt>
                <c:pt idx="5">
                  <c:v>1.0000000000000009E-3</c:v>
                </c:pt>
                <c:pt idx="6">
                  <c:v>1.2499999999999734E-3</c:v>
                </c:pt>
                <c:pt idx="7">
                  <c:v>1.4999999999999458E-3</c:v>
                </c:pt>
                <c:pt idx="8">
                  <c:v>1.7500000000000293E-3</c:v>
                </c:pt>
                <c:pt idx="9">
                  <c:v>2.0000000000000018E-3</c:v>
                </c:pt>
                <c:pt idx="10">
                  <c:v>2.2499999999999742E-3</c:v>
                </c:pt>
                <c:pt idx="11">
                  <c:v>2.4999999999999467E-3</c:v>
                </c:pt>
                <c:pt idx="12">
                  <c:v>2.7500000000000302E-3</c:v>
                </c:pt>
                <c:pt idx="13">
                  <c:v>3.0000000000000027E-3</c:v>
                </c:pt>
                <c:pt idx="14">
                  <c:v>3.2499999999999751E-3</c:v>
                </c:pt>
                <c:pt idx="15">
                  <c:v>3.4999999999999476E-3</c:v>
                </c:pt>
                <c:pt idx="16">
                  <c:v>3.7500000000000311E-3</c:v>
                </c:pt>
                <c:pt idx="17">
                  <c:v>4.0000000000000036E-3</c:v>
                </c:pt>
                <c:pt idx="18">
                  <c:v>4.249999999999976E-3</c:v>
                </c:pt>
                <c:pt idx="19">
                  <c:v>4.4999999999999485E-3</c:v>
                </c:pt>
                <c:pt idx="20">
                  <c:v>4.750000000000032E-3</c:v>
                </c:pt>
                <c:pt idx="21">
                  <c:v>5.0000000000000044E-3</c:v>
                </c:pt>
                <c:pt idx="22">
                  <c:v>5.2499999999999769E-3</c:v>
                </c:pt>
                <c:pt idx="23">
                  <c:v>5.4999999999999494E-3</c:v>
                </c:pt>
                <c:pt idx="24">
                  <c:v>5.7500000000000329E-3</c:v>
                </c:pt>
                <c:pt idx="25">
                  <c:v>6.0000000000000053E-3</c:v>
                </c:pt>
                <c:pt idx="26">
                  <c:v>6.2499999999999778E-3</c:v>
                </c:pt>
                <c:pt idx="27">
                  <c:v>6.4999999999999503E-3</c:v>
                </c:pt>
                <c:pt idx="28">
                  <c:v>6.7500000000000338E-3</c:v>
                </c:pt>
                <c:pt idx="29">
                  <c:v>7.0000000000000062E-3</c:v>
                </c:pt>
              </c:numCache>
            </c:numRef>
          </c:val>
          <c:extLst>
            <c:ext xmlns:c16="http://schemas.microsoft.com/office/drawing/2014/chart" uri="{C3380CC4-5D6E-409C-BE32-E72D297353CC}">
              <c16:uniqueId val="{0000000E-00CF-4E4C-B8CE-CC420760089C}"/>
            </c:ext>
          </c:extLst>
        </c:ser>
        <c:ser>
          <c:idx val="14"/>
          <c:order val="14"/>
          <c:tx>
            <c:strRef>
              <c:f>'Main calculations'!$ER$10</c:f>
              <c:strCache>
                <c:ptCount val="1"/>
                <c:pt idx="0">
                  <c:v>Work from Home</c:v>
                </c:pt>
              </c:strCache>
            </c:strRef>
          </c:tx>
          <c:spPr>
            <a:solidFill>
              <a:schemeClr val="accent2">
                <a:lumMod val="20000"/>
                <a:lumOff val="80000"/>
              </a:schemeClr>
            </a:solidFill>
            <a:ln>
              <a:noFill/>
            </a:ln>
            <a:effectLst/>
          </c:spPr>
          <c:dLbls>
            <c:dLbl>
              <c:idx val="0"/>
              <c:layout>
                <c:manualLayout>
                  <c:x val="-1.3949084949189238E-2"/>
                  <c:y val="-6.9294446596389258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00CF-4E4C-B8CE-CC42076008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calculations'!$EB$11:$EB$40</c:f>
              <c:numCache>
                <c:formatCode>General</c:formatCode>
                <c:ptCount val="3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numCache>
            </c:numRef>
          </c:cat>
          <c:val>
            <c:numRef>
              <c:f>'Main calculations'!$ER$11:$ER$40</c:f>
              <c:numCache>
                <c:formatCode>0.0%</c:formatCode>
                <c:ptCount val="30"/>
                <c:pt idx="0">
                  <c:v>9.5999999999996088E-4</c:v>
                </c:pt>
                <c:pt idx="1">
                  <c:v>1.9200000000000328E-3</c:v>
                </c:pt>
                <c:pt idx="2">
                  <c:v>2.8799999999999937E-3</c:v>
                </c:pt>
                <c:pt idx="3">
                  <c:v>3.8399999999999546E-3</c:v>
                </c:pt>
                <c:pt idx="4">
                  <c:v>4.8000000000000265E-3</c:v>
                </c:pt>
                <c:pt idx="5">
                  <c:v>5.7599999999999874E-3</c:v>
                </c:pt>
                <c:pt idx="6">
                  <c:v>6.7199999999999482E-3</c:v>
                </c:pt>
                <c:pt idx="7">
                  <c:v>7.6800000000000201E-3</c:v>
                </c:pt>
                <c:pt idx="8">
                  <c:v>8.639999999999981E-3</c:v>
                </c:pt>
                <c:pt idx="9">
                  <c:v>9.6000000000000529E-3</c:v>
                </c:pt>
                <c:pt idx="10">
                  <c:v>1.0560000000000014E-2</c:v>
                </c:pt>
                <c:pt idx="11">
                  <c:v>1.1519999999999975E-2</c:v>
                </c:pt>
                <c:pt idx="12">
                  <c:v>1.2480000000000047E-2</c:v>
                </c:pt>
                <c:pt idx="13">
                  <c:v>1.3440000000000007E-2</c:v>
                </c:pt>
                <c:pt idx="14">
                  <c:v>1.4399999999999968E-2</c:v>
                </c:pt>
                <c:pt idx="15">
                  <c:v>1.536000000000004E-2</c:v>
                </c:pt>
                <c:pt idx="16">
                  <c:v>1.6320000000000001E-2</c:v>
                </c:pt>
                <c:pt idx="17">
                  <c:v>1.7279999999999962E-2</c:v>
                </c:pt>
                <c:pt idx="18">
                  <c:v>1.8240000000000034E-2</c:v>
                </c:pt>
                <c:pt idx="19">
                  <c:v>1.9199999999999995E-2</c:v>
                </c:pt>
                <c:pt idx="20">
                  <c:v>2.0159999999999956E-2</c:v>
                </c:pt>
                <c:pt idx="21">
                  <c:v>2.1120000000000028E-2</c:v>
                </c:pt>
                <c:pt idx="22">
                  <c:v>2.2079999999999989E-2</c:v>
                </c:pt>
                <c:pt idx="23">
                  <c:v>2.3039999999999949E-2</c:v>
                </c:pt>
                <c:pt idx="24">
                  <c:v>2.4000000000000021E-2</c:v>
                </c:pt>
                <c:pt idx="25">
                  <c:v>2.4959999999999982E-2</c:v>
                </c:pt>
                <c:pt idx="26">
                  <c:v>2.5919999999999943E-2</c:v>
                </c:pt>
                <c:pt idx="27">
                  <c:v>2.6880000000000015E-2</c:v>
                </c:pt>
                <c:pt idx="28">
                  <c:v>2.7839999999999976E-2</c:v>
                </c:pt>
                <c:pt idx="29">
                  <c:v>2.8799999999999937E-2</c:v>
                </c:pt>
              </c:numCache>
            </c:numRef>
          </c:val>
          <c:extLst>
            <c:ext xmlns:c16="http://schemas.microsoft.com/office/drawing/2014/chart" uri="{C3380CC4-5D6E-409C-BE32-E72D297353CC}">
              <c16:uniqueId val="{0000000F-00CF-4E4C-B8CE-CC420760089C}"/>
            </c:ext>
          </c:extLst>
        </c:ser>
        <c:ser>
          <c:idx val="15"/>
          <c:order val="15"/>
          <c:tx>
            <c:strRef>
              <c:f>'Main calculations'!$ED$10</c:f>
              <c:strCache>
                <c:ptCount val="1"/>
                <c:pt idx="0">
                  <c:v>1990-2020 change</c:v>
                </c:pt>
              </c:strCache>
            </c:strRef>
          </c:tx>
          <c:spPr>
            <a:solidFill>
              <a:schemeClr val="bg1"/>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'Main calculations'!$ED$11:$ED$40</c:f>
              <c:numCache>
                <c:formatCode>0.00%</c:formatCode>
                <c:ptCount val="30"/>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numCache>
            </c:numRef>
          </c:val>
          <c:extLst>
            <c:ext xmlns:c16="http://schemas.microsoft.com/office/drawing/2014/chart" uri="{C3380CC4-5D6E-409C-BE32-E72D297353CC}">
              <c16:uniqueId val="{00000015-00CF-4E4C-B8CE-CC420760089C}"/>
            </c:ext>
          </c:extLst>
        </c:ser>
        <c:dLbls>
          <c:showLegendKey val="0"/>
          <c:showVal val="0"/>
          <c:showCatName val="0"/>
          <c:showSerName val="0"/>
          <c:showPercent val="0"/>
          <c:showBubbleSize val="0"/>
        </c:dLbls>
        <c:axId val="1161073112"/>
        <c:axId val="1161076392"/>
      </c:area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midCat"/>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100%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calculations'!$FA$6</c:f>
              <c:strCache>
                <c:ptCount val="1"/>
                <c:pt idx="0">
                  <c:v>Residual emissions</c:v>
                </c:pt>
              </c:strCache>
            </c:strRef>
          </c:tx>
          <c:spPr>
            <a:solidFill>
              <a:schemeClr val="bg1">
                <a:lumMod val="85000"/>
              </a:schemeClr>
            </a:solidFill>
            <a:ln w="25400">
              <a:noFill/>
            </a:ln>
            <a:effectLst/>
          </c:spPr>
          <c:dLbls>
            <c:dLbl>
              <c:idx val="0"/>
              <c:layout>
                <c:manualLayout>
                  <c:x val="-6.2445424867172666E-2"/>
                  <c:y val="-1.836734989030208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3-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calculations'!$FA$7:$FA$40</c:f>
              <c:numCache>
                <c:formatCode>0%</c:formatCode>
                <c:ptCount val="34"/>
                <c:pt idx="0">
                  <c:v>1</c:v>
                </c:pt>
                <c:pt idx="1">
                  <c:v>0.98333333333333328</c:v>
                </c:pt>
                <c:pt idx="2">
                  <c:v>0.96666666666666656</c:v>
                </c:pt>
                <c:pt idx="3" formatCode="0.00%">
                  <c:v>0.95</c:v>
                </c:pt>
                <c:pt idx="4" formatCode="0.00%">
                  <c:v>0.93404941176470579</c:v>
                </c:pt>
                <c:pt idx="5" formatCode="0.00%">
                  <c:v>0.91809882352941174</c:v>
                </c:pt>
                <c:pt idx="6" formatCode="0.00%">
                  <c:v>0.89719061260812727</c:v>
                </c:pt>
                <c:pt idx="7" formatCode="0.00%">
                  <c:v>0.87583090533901675</c:v>
                </c:pt>
                <c:pt idx="8" formatCode="0.00%">
                  <c:v>0.85315431710669543</c:v>
                </c:pt>
                <c:pt idx="9" formatCode="0.00%">
                  <c:v>0.83002623252654817</c:v>
                </c:pt>
                <c:pt idx="10" formatCode="0.00%">
                  <c:v>0.80644665159857476</c:v>
                </c:pt>
                <c:pt idx="11" formatCode="0.00%">
                  <c:v>0.7824155743227752</c:v>
                </c:pt>
                <c:pt idx="12" formatCode="0.00%">
                  <c:v>0.75793300069914971</c:v>
                </c:pt>
                <c:pt idx="13" formatCode="0.00%">
                  <c:v>0.72978464501341211</c:v>
                </c:pt>
                <c:pt idx="14" formatCode="0.00%">
                  <c:v>0.70118479297984881</c:v>
                </c:pt>
                <c:pt idx="15" formatCode="0.00%">
                  <c:v>0.67213344459845925</c:v>
                </c:pt>
                <c:pt idx="16" formatCode="0.00%">
                  <c:v>0.64263059986924354</c:v>
                </c:pt>
                <c:pt idx="17" formatCode="0.00%">
                  <c:v>0.61267625879220178</c:v>
                </c:pt>
                <c:pt idx="18" formatCode="0.00%">
                  <c:v>0.5822704213673342</c:v>
                </c:pt>
                <c:pt idx="19" formatCode="0.00%">
                  <c:v>0.55141308759463992</c:v>
                </c:pt>
                <c:pt idx="20" formatCode="0.00%">
                  <c:v>0.52010425747412004</c:v>
                </c:pt>
                <c:pt idx="21" formatCode="0.00%">
                  <c:v>0.49333451924106808</c:v>
                </c:pt>
                <c:pt idx="22" formatCode="0.00%">
                  <c:v>0.46611328466018997</c:v>
                </c:pt>
                <c:pt idx="23" formatCode="0.00%">
                  <c:v>0.43844055373148583</c:v>
                </c:pt>
                <c:pt idx="24" formatCode="0.00%">
                  <c:v>0.41031632645495553</c:v>
                </c:pt>
                <c:pt idx="25" formatCode="0.00%">
                  <c:v>0.38174060283059896</c:v>
                </c:pt>
                <c:pt idx="26" formatCode="0.00%">
                  <c:v>0.3527133828584168</c:v>
                </c:pt>
                <c:pt idx="27" formatCode="0.00%">
                  <c:v>0.32323466653840827</c:v>
                </c:pt>
                <c:pt idx="28" formatCode="0.00%">
                  <c:v>0.29330445387057347</c:v>
                </c:pt>
                <c:pt idx="29" formatCode="0.00%">
                  <c:v>0.26292274485491296</c:v>
                </c:pt>
                <c:pt idx="30" formatCode="0.00%">
                  <c:v>0.2320895394914263</c:v>
                </c:pt>
                <c:pt idx="31" formatCode="0.00%">
                  <c:v>0.20080483778011338</c:v>
                </c:pt>
                <c:pt idx="32" formatCode="0.00%">
                  <c:v>0.1690686397209743</c:v>
                </c:pt>
                <c:pt idx="33" formatCode="0.00%">
                  <c:v>0.13688094531400941</c:v>
                </c:pt>
              </c:numCache>
            </c:numRef>
          </c:val>
          <c:extLst>
            <c:ext xmlns:c16="http://schemas.microsoft.com/office/drawing/2014/chart" uri="{C3380CC4-5D6E-409C-BE32-E72D297353CC}">
              <c16:uniqueId val="{00000001-3119-4DD8-BDAA-21587AF2C9CD}"/>
            </c:ext>
          </c:extLst>
        </c:ser>
        <c:ser>
          <c:idx val="11"/>
          <c:order val="1"/>
          <c:tx>
            <c:strRef>
              <c:f>'Main calculations'!$FC$6</c:f>
              <c:strCache>
                <c:ptCount val="1"/>
                <c:pt idx="0">
                  <c:v>100% BEV</c:v>
                </c:pt>
              </c:strCache>
            </c:strRef>
          </c:tx>
          <c:spPr>
            <a:solidFill>
              <a:schemeClr val="accent4">
                <a:lumMod val="60000"/>
                <a:lumOff val="40000"/>
              </a:schemeClr>
            </a:solidFill>
            <a:ln w="25400">
              <a:noFill/>
            </a:ln>
            <a:effectLst/>
          </c:spPr>
          <c:dLbls>
            <c:dLbl>
              <c:idx val="0"/>
              <c:layout>
                <c:manualLayout>
                  <c:x val="8.3260566489563564E-2"/>
                  <c:y val="8.1632666179120381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calculations'!$FC$7:$FC$40</c:f>
              <c:numCache>
                <c:formatCode>0.00%</c:formatCode>
                <c:ptCount val="34"/>
                <c:pt idx="0">
                  <c:v>0</c:v>
                </c:pt>
                <c:pt idx="1">
                  <c:v>0</c:v>
                </c:pt>
                <c:pt idx="2">
                  <c:v>0</c:v>
                </c:pt>
                <c:pt idx="3">
                  <c:v>0</c:v>
                </c:pt>
                <c:pt idx="4" formatCode="0.0%">
                  <c:v>0</c:v>
                </c:pt>
                <c:pt idx="5" formatCode="0.0%">
                  <c:v>0</c:v>
                </c:pt>
                <c:pt idx="6" formatCode="0.0%">
                  <c:v>7.7600671304347835E-3</c:v>
                </c:pt>
                <c:pt idx="7" formatCode="0.0%">
                  <c:v>1.5971630608695653E-2</c:v>
                </c:pt>
                <c:pt idx="8" formatCode="0.0%">
                  <c:v>2.4634690434782607E-2</c:v>
                </c:pt>
                <c:pt idx="9" formatCode="0.0%">
                  <c:v>3.374924660869566E-2</c:v>
                </c:pt>
                <c:pt idx="10" formatCode="0.0%">
                  <c:v>4.331529913043479E-2</c:v>
                </c:pt>
                <c:pt idx="11" formatCode="0.0%">
                  <c:v>5.3332848000000002E-2</c:v>
                </c:pt>
                <c:pt idx="12" formatCode="0.0%">
                  <c:v>6.3801893217391298E-2</c:v>
                </c:pt>
                <c:pt idx="13" formatCode="0.0%">
                  <c:v>7.4722434782608704E-2</c:v>
                </c:pt>
                <c:pt idx="14" formatCode="0.0%">
                  <c:v>8.6094472695652166E-2</c:v>
                </c:pt>
                <c:pt idx="15" formatCode="0.0%">
                  <c:v>9.7918006956521725E-2</c:v>
                </c:pt>
                <c:pt idx="16" formatCode="0.0%">
                  <c:v>0.11019303756521739</c:v>
                </c:pt>
                <c:pt idx="17" formatCode="0.0%">
                  <c:v>0.12291956452173913</c:v>
                </c:pt>
                <c:pt idx="18" formatCode="0.0%">
                  <c:v>0.13609758782608697</c:v>
                </c:pt>
                <c:pt idx="19" formatCode="0.0%">
                  <c:v>0.14972710747826087</c:v>
                </c:pt>
                <c:pt idx="20" formatCode="0.0%">
                  <c:v>0.16380812347826085</c:v>
                </c:pt>
                <c:pt idx="21" formatCode="0.0%">
                  <c:v>0.17834063582608697</c:v>
                </c:pt>
                <c:pt idx="22" formatCode="0.0%">
                  <c:v>0.19332464452173914</c:v>
                </c:pt>
                <c:pt idx="23" formatCode="0.0%">
                  <c:v>0.20876014956521743</c:v>
                </c:pt>
                <c:pt idx="24" formatCode="0.0%">
                  <c:v>0.2246471509565218</c:v>
                </c:pt>
                <c:pt idx="25" formatCode="0.0%">
                  <c:v>0.2409856486956522</c:v>
                </c:pt>
                <c:pt idx="26" formatCode="0.0%">
                  <c:v>0.25777564278260878</c:v>
                </c:pt>
                <c:pt idx="27" formatCode="0.0%">
                  <c:v>0.27501713321739135</c:v>
                </c:pt>
                <c:pt idx="28" formatCode="0.0%">
                  <c:v>0.29271012000000007</c:v>
                </c:pt>
                <c:pt idx="29" formatCode="0.0%">
                  <c:v>0.31085460313043484</c:v>
                </c:pt>
                <c:pt idx="30" formatCode="0.0%">
                  <c:v>0.3294505826086957</c:v>
                </c:pt>
                <c:pt idx="31" formatCode="0.0%">
                  <c:v>0.34849805843478265</c:v>
                </c:pt>
                <c:pt idx="32" formatCode="0.0%">
                  <c:v>0.36799703060869576</c:v>
                </c:pt>
                <c:pt idx="33" formatCode="0.0%">
                  <c:v>0.38794749913043486</c:v>
                </c:pt>
              </c:numCache>
            </c:numRef>
          </c:val>
          <c:extLst>
            <c:ext xmlns:c16="http://schemas.microsoft.com/office/drawing/2014/chart" uri="{C3380CC4-5D6E-409C-BE32-E72D297353CC}">
              <c16:uniqueId val="{0000001A-3119-4DD8-BDAA-21587AF2C9CD}"/>
            </c:ext>
          </c:extLst>
        </c:ser>
        <c:ser>
          <c:idx val="4"/>
          <c:order val="2"/>
          <c:tx>
            <c:strRef>
              <c:f>'Main calculations'!$FD$6</c:f>
              <c:strCache>
                <c:ptCount val="1"/>
                <c:pt idx="0">
                  <c:v>ICE fuel efficiency@100%BEV</c:v>
                </c:pt>
              </c:strCache>
            </c:strRef>
          </c:tx>
          <c:spPr>
            <a:solidFill>
              <a:schemeClr val="accent1">
                <a:lumMod val="20000"/>
                <a:lumOff val="80000"/>
              </a:schemeClr>
            </a:solidFill>
            <a:ln w="25400">
              <a:noFill/>
            </a:ln>
            <a:effectLst/>
          </c:spPr>
          <c:dLbls>
            <c:dLbl>
              <c:idx val="0"/>
              <c:layout>
                <c:manualLayout>
                  <c:x val="-3.1458726637808722E-2"/>
                  <c:y val="-1.836734989030216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C-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calculations'!$FD$7:$FD$40</c:f>
              <c:numCache>
                <c:formatCode>0.00%</c:formatCode>
                <c:ptCount val="34"/>
                <c:pt idx="0">
                  <c:v>0</c:v>
                </c:pt>
                <c:pt idx="1">
                  <c:v>0</c:v>
                </c:pt>
                <c:pt idx="2">
                  <c:v>0</c:v>
                </c:pt>
                <c:pt idx="3">
                  <c:v>0</c:v>
                </c:pt>
                <c:pt idx="4" formatCode="0.0%">
                  <c:v>4.9905882352941156E-3</c:v>
                </c:pt>
                <c:pt idx="5" formatCode="0.0%">
                  <c:v>9.9811764705882312E-3</c:v>
                </c:pt>
                <c:pt idx="6" formatCode="0.0%">
                  <c:v>1.1919320261437907E-2</c:v>
                </c:pt>
                <c:pt idx="7" formatCode="0.0%">
                  <c:v>1.3857464052287573E-2</c:v>
                </c:pt>
                <c:pt idx="8" formatCode="0.0%">
                  <c:v>1.5795607843137244E-2</c:v>
                </c:pt>
                <c:pt idx="9" formatCode="0.0%">
                  <c:v>1.7733751633986921E-2</c:v>
                </c:pt>
                <c:pt idx="10" formatCode="0.0%">
                  <c:v>1.9671895424836591E-2</c:v>
                </c:pt>
                <c:pt idx="11" formatCode="0.0%">
                  <c:v>2.1610039215686265E-2</c:v>
                </c:pt>
                <c:pt idx="12" formatCode="0.0%">
                  <c:v>2.3548183006535946E-2</c:v>
                </c:pt>
                <c:pt idx="13" formatCode="0.0%">
                  <c:v>2.5486326797385613E-2</c:v>
                </c:pt>
                <c:pt idx="14" formatCode="0.0%">
                  <c:v>2.7424470588235276E-2</c:v>
                </c:pt>
                <c:pt idx="15" formatCode="0.0%">
                  <c:v>2.936261437908496E-2</c:v>
                </c:pt>
                <c:pt idx="16" formatCode="0.0%">
                  <c:v>3.130075816993462E-2</c:v>
                </c:pt>
                <c:pt idx="17" formatCode="0.0%">
                  <c:v>3.3238901960784287E-2</c:v>
                </c:pt>
                <c:pt idx="18" formatCode="0.0%">
                  <c:v>3.5177045751633981E-2</c:v>
                </c:pt>
                <c:pt idx="19" formatCode="0.0%">
                  <c:v>3.711518954248369E-2</c:v>
                </c:pt>
                <c:pt idx="20" formatCode="0.0%">
                  <c:v>3.9053333333333336E-2</c:v>
                </c:pt>
                <c:pt idx="21" formatCode="0.0%">
                  <c:v>3.6000888888888888E-2</c:v>
                </c:pt>
                <c:pt idx="22" formatCode="0.0%">
                  <c:v>3.2948444444444447E-2</c:v>
                </c:pt>
                <c:pt idx="23" formatCode="0.0%">
                  <c:v>2.989600000000003E-2</c:v>
                </c:pt>
                <c:pt idx="24" formatCode="0.0%">
                  <c:v>2.6843555555555565E-2</c:v>
                </c:pt>
                <c:pt idx="25" formatCode="0.0%">
                  <c:v>2.3791111111111127E-2</c:v>
                </c:pt>
                <c:pt idx="26" formatCode="0.0%">
                  <c:v>2.0738666666666683E-2</c:v>
                </c:pt>
                <c:pt idx="27" formatCode="0.0%">
                  <c:v>1.7686222222222263E-2</c:v>
                </c:pt>
                <c:pt idx="28" formatCode="0.0%">
                  <c:v>1.4633777777777829E-2</c:v>
                </c:pt>
                <c:pt idx="29" formatCode="0.0%">
                  <c:v>1.1581333333333367E-2</c:v>
                </c:pt>
                <c:pt idx="30" formatCode="0.0%">
                  <c:v>8.5288888888889469E-3</c:v>
                </c:pt>
                <c:pt idx="31" formatCode="0.0%">
                  <c:v>5.476444444444499E-3</c:v>
                </c:pt>
                <c:pt idx="32" formatCode="0.0%">
                  <c:v>2.424000000000065E-3</c:v>
                </c:pt>
                <c:pt idx="33" formatCode="0.0%">
                  <c:v>-6.2844444444439679E-4</c:v>
                </c:pt>
              </c:numCache>
            </c:numRef>
          </c:val>
          <c:extLst>
            <c:ext xmlns:c16="http://schemas.microsoft.com/office/drawing/2014/chart" uri="{C3380CC4-5D6E-409C-BE32-E72D297353CC}">
              <c16:uniqueId val="{00000004-3119-4DD8-BDAA-21587AF2C9CD}"/>
            </c:ext>
          </c:extLst>
        </c:ser>
        <c:ser>
          <c:idx val="0"/>
          <c:order val="3"/>
          <c:tx>
            <c:strRef>
              <c:f>'Main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calculations'!$FE$7:$FE$40</c:f>
              <c:numCache>
                <c:formatCode>0.00%</c:formatCode>
                <c:ptCount val="34"/>
                <c:pt idx="0">
                  <c:v>0</c:v>
                </c:pt>
                <c:pt idx="1">
                  <c:v>0</c:v>
                </c:pt>
                <c:pt idx="2">
                  <c:v>0</c:v>
                </c:pt>
                <c:pt idx="3">
                  <c:v>0</c:v>
                </c:pt>
                <c:pt idx="4" formatCode="0.0%">
                  <c:v>8.1751824817518637E-3</c:v>
                </c:pt>
                <c:pt idx="5" formatCode="0.0%">
                  <c:v>1.6350364963503616E-2</c:v>
                </c:pt>
                <c:pt idx="6" formatCode="0.0%">
                  <c:v>2.452554744525548E-2</c:v>
                </c:pt>
                <c:pt idx="7" formatCode="0.0%">
                  <c:v>3.2700729927007344E-2</c:v>
                </c:pt>
                <c:pt idx="8" formatCode="0.0%">
                  <c:v>4.0875912408759096E-2</c:v>
                </c:pt>
                <c:pt idx="9" formatCode="0.0%">
                  <c:v>4.905109489051096E-2</c:v>
                </c:pt>
                <c:pt idx="10" formatCode="0.0%">
                  <c:v>5.7226277372262824E-2</c:v>
                </c:pt>
                <c:pt idx="11" formatCode="0.0%">
                  <c:v>6.5401459854014576E-2</c:v>
                </c:pt>
                <c:pt idx="12" formatCode="0.0%">
                  <c:v>7.357664233576644E-2</c:v>
                </c:pt>
                <c:pt idx="13" formatCode="0.0%">
                  <c:v>8.1751824817518193E-2</c:v>
                </c:pt>
                <c:pt idx="14" formatCode="0.0%">
                  <c:v>8.9927007299270056E-2</c:v>
                </c:pt>
                <c:pt idx="15" formatCode="0.0%">
                  <c:v>9.810218978102192E-2</c:v>
                </c:pt>
                <c:pt idx="16" formatCode="0.0%">
                  <c:v>0.10627737226277367</c:v>
                </c:pt>
                <c:pt idx="17" formatCode="0.0%">
                  <c:v>0.11445255474452554</c:v>
                </c:pt>
                <c:pt idx="18" formatCode="0.0%">
                  <c:v>0.1226277372262774</c:v>
                </c:pt>
                <c:pt idx="19" formatCode="0.0%">
                  <c:v>0.13080291970802915</c:v>
                </c:pt>
                <c:pt idx="20" formatCode="0.0%">
                  <c:v>0.13897810218978102</c:v>
                </c:pt>
                <c:pt idx="21" formatCode="0.0%">
                  <c:v>0.14715328467153288</c:v>
                </c:pt>
                <c:pt idx="22" formatCode="0.0%">
                  <c:v>0.15532846715328463</c:v>
                </c:pt>
                <c:pt idx="23" formatCode="0.0%">
                  <c:v>0.1635036496350365</c:v>
                </c:pt>
                <c:pt idx="24" formatCode="0.0%">
                  <c:v>0.17167883211678836</c:v>
                </c:pt>
                <c:pt idx="25" formatCode="0.0%">
                  <c:v>0.17985401459854022</c:v>
                </c:pt>
                <c:pt idx="26" formatCode="0.0%">
                  <c:v>0.18802919708029198</c:v>
                </c:pt>
                <c:pt idx="27" formatCode="0.0%">
                  <c:v>0.19620437956204384</c:v>
                </c:pt>
                <c:pt idx="28" formatCode="0.0%">
                  <c:v>0.2043795620437957</c:v>
                </c:pt>
                <c:pt idx="29" formatCode="0.0%">
                  <c:v>0.21255474452554757</c:v>
                </c:pt>
                <c:pt idx="30" formatCode="0.0%">
                  <c:v>0.22072992700729938</c:v>
                </c:pt>
                <c:pt idx="31" formatCode="0.0%">
                  <c:v>0.22890510948905118</c:v>
                </c:pt>
                <c:pt idx="32" formatCode="0.0%">
                  <c:v>0.23708029197080305</c:v>
                </c:pt>
                <c:pt idx="33" formatCode="0.0%">
                  <c:v>0.24525547445255491</c:v>
                </c:pt>
              </c:numCache>
            </c:numRef>
          </c:val>
          <c:extLst>
            <c:ext xmlns:c16="http://schemas.microsoft.com/office/drawing/2014/chart" uri="{C3380CC4-5D6E-409C-BE32-E72D297353CC}">
              <c16:uniqueId val="{00000000-3119-4DD8-BDAA-21587AF2C9CD}"/>
            </c:ext>
          </c:extLst>
        </c:ser>
        <c:ser>
          <c:idx val="12"/>
          <c:order val="4"/>
          <c:tx>
            <c:strRef>
              <c:f>'Main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calculations'!$FF$7:$FF$40</c:f>
              <c:numCache>
                <c:formatCode>0.00%</c:formatCode>
                <c:ptCount val="34"/>
                <c:pt idx="0">
                  <c:v>0</c:v>
                </c:pt>
                <c:pt idx="1">
                  <c:v>0</c:v>
                </c:pt>
                <c:pt idx="2">
                  <c:v>0</c:v>
                </c:pt>
                <c:pt idx="3">
                  <c:v>0</c:v>
                </c:pt>
                <c:pt idx="4" formatCode="0.0%">
                  <c:v>3.4793187347932353E-3</c:v>
                </c:pt>
                <c:pt idx="5" formatCode="0.0%">
                  <c:v>6.9586374695863595E-3</c:v>
                </c:pt>
                <c:pt idx="6" formatCode="0.0%">
                  <c:v>1.0437956204379595E-2</c:v>
                </c:pt>
                <c:pt idx="7" formatCode="0.0%">
                  <c:v>1.3917274939172719E-2</c:v>
                </c:pt>
                <c:pt idx="8" formatCode="0.0%">
                  <c:v>1.7396593673965954E-2</c:v>
                </c:pt>
                <c:pt idx="9" formatCode="0.0%">
                  <c:v>2.0875912408759079E-2</c:v>
                </c:pt>
                <c:pt idx="10" formatCode="0.0%">
                  <c:v>2.4355231143552314E-2</c:v>
                </c:pt>
                <c:pt idx="11" formatCode="0.0%">
                  <c:v>2.7834549878345549E-2</c:v>
                </c:pt>
                <c:pt idx="12" formatCode="0.0%">
                  <c:v>3.1313868613138673E-2</c:v>
                </c:pt>
                <c:pt idx="13" formatCode="0.0%">
                  <c:v>3.4793187347931909E-2</c:v>
                </c:pt>
                <c:pt idx="14" formatCode="0.0%">
                  <c:v>3.8272506082725033E-2</c:v>
                </c:pt>
                <c:pt idx="15" formatCode="0.0%">
                  <c:v>4.1751824817518268E-2</c:v>
                </c:pt>
                <c:pt idx="16" formatCode="0.0%">
                  <c:v>4.5231143552311392E-2</c:v>
                </c:pt>
                <c:pt idx="17" formatCode="0.0%">
                  <c:v>4.8710462287104628E-2</c:v>
                </c:pt>
                <c:pt idx="18" formatCode="0.0%">
                  <c:v>5.2189781021897752E-2</c:v>
                </c:pt>
                <c:pt idx="19" formatCode="0.0%">
                  <c:v>5.5669099756690987E-2</c:v>
                </c:pt>
                <c:pt idx="20" formatCode="0.0%">
                  <c:v>5.9148418491484223E-2</c:v>
                </c:pt>
                <c:pt idx="21" formatCode="0.0%">
                  <c:v>6.2627737226277347E-2</c:v>
                </c:pt>
                <c:pt idx="22" formatCode="0.0%">
                  <c:v>6.6107055961070582E-2</c:v>
                </c:pt>
                <c:pt idx="23" formatCode="0.0%">
                  <c:v>6.9586374695863706E-2</c:v>
                </c:pt>
                <c:pt idx="24" formatCode="0.0%">
                  <c:v>7.3065693430656942E-2</c:v>
                </c:pt>
                <c:pt idx="25" formatCode="0.0%">
                  <c:v>7.6545012165450177E-2</c:v>
                </c:pt>
                <c:pt idx="26" formatCode="0.0%">
                  <c:v>8.0024330900243301E-2</c:v>
                </c:pt>
                <c:pt idx="27" formatCode="0.0%">
                  <c:v>8.3503649635036536E-2</c:v>
                </c:pt>
                <c:pt idx="28" formatCode="0.0%">
                  <c:v>8.6982968369829772E-2</c:v>
                </c:pt>
                <c:pt idx="29" formatCode="0.0%">
                  <c:v>9.0462287104622896E-2</c:v>
                </c:pt>
                <c:pt idx="30" formatCode="0.0%">
                  <c:v>9.3941605839416131E-2</c:v>
                </c:pt>
                <c:pt idx="31" formatCode="0.0%">
                  <c:v>9.7420924574209256E-2</c:v>
                </c:pt>
                <c:pt idx="32" formatCode="0.0%">
                  <c:v>0.10090024330900249</c:v>
                </c:pt>
                <c:pt idx="33" formatCode="0.0%">
                  <c:v>0.10437956204379573</c:v>
                </c:pt>
              </c:numCache>
            </c:numRef>
          </c:val>
          <c:extLst>
            <c:ext xmlns:c16="http://schemas.microsoft.com/office/drawing/2014/chart" uri="{C3380CC4-5D6E-409C-BE32-E72D297353CC}">
              <c16:uniqueId val="{0000001D-3119-4DD8-BDAA-21587AF2C9CD}"/>
            </c:ext>
          </c:extLst>
        </c:ser>
        <c:ser>
          <c:idx val="7"/>
          <c:order val="5"/>
          <c:tx>
            <c:strRef>
              <c:f>'Main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calculations'!$FG$7:$FG$40</c:f>
              <c:numCache>
                <c:formatCode>0.00%</c:formatCode>
                <c:ptCount val="34"/>
                <c:pt idx="0">
                  <c:v>0</c:v>
                </c:pt>
                <c:pt idx="1">
                  <c:v>0</c:v>
                </c:pt>
                <c:pt idx="2">
                  <c:v>0</c:v>
                </c:pt>
                <c:pt idx="3">
                  <c:v>0</c:v>
                </c:pt>
                <c:pt idx="4" formatCode="0.0%">
                  <c:v>1.6788321167883202E-3</c:v>
                </c:pt>
                <c:pt idx="5" formatCode="0.0%">
                  <c:v>3.3576642335766405E-3</c:v>
                </c:pt>
                <c:pt idx="6" formatCode="0.0%">
                  <c:v>5.0364963503649607E-3</c:v>
                </c:pt>
                <c:pt idx="7" formatCode="0.0%">
                  <c:v>6.7153284671532809E-3</c:v>
                </c:pt>
                <c:pt idx="8" formatCode="0.0%">
                  <c:v>8.3941605839416011E-3</c:v>
                </c:pt>
                <c:pt idx="9" formatCode="0.0%">
                  <c:v>1.0072992700729921E-2</c:v>
                </c:pt>
                <c:pt idx="10" formatCode="0.0%">
                  <c:v>1.1751824817518242E-2</c:v>
                </c:pt>
                <c:pt idx="11" formatCode="0.0%">
                  <c:v>1.3430656934306562E-2</c:v>
                </c:pt>
                <c:pt idx="12" formatCode="0.0%">
                  <c:v>1.5109489051094882E-2</c:v>
                </c:pt>
                <c:pt idx="13" formatCode="0.0%">
                  <c:v>1.6788321167883202E-2</c:v>
                </c:pt>
                <c:pt idx="14" formatCode="0.0%">
                  <c:v>1.8467153284671523E-2</c:v>
                </c:pt>
                <c:pt idx="15" formatCode="0.0%">
                  <c:v>2.0145985401459843E-2</c:v>
                </c:pt>
                <c:pt idx="16" formatCode="0.0%">
                  <c:v>2.1824817518248163E-2</c:v>
                </c:pt>
                <c:pt idx="17" formatCode="0.0%">
                  <c:v>2.3503649635036483E-2</c:v>
                </c:pt>
                <c:pt idx="18" formatCode="0.0%">
                  <c:v>2.5182481751824803E-2</c:v>
                </c:pt>
                <c:pt idx="19" formatCode="0.0%">
                  <c:v>2.6861313868613124E-2</c:v>
                </c:pt>
                <c:pt idx="20" formatCode="0.0%">
                  <c:v>2.8540145985401444E-2</c:v>
                </c:pt>
                <c:pt idx="21" formatCode="0.0%">
                  <c:v>3.0218978102189764E-2</c:v>
                </c:pt>
                <c:pt idx="22" formatCode="0.0%">
                  <c:v>3.1897810218978084E-2</c:v>
                </c:pt>
                <c:pt idx="23" formatCode="0.0%">
                  <c:v>3.3576642335766405E-2</c:v>
                </c:pt>
                <c:pt idx="24" formatCode="0.0%">
                  <c:v>3.5255474452554725E-2</c:v>
                </c:pt>
                <c:pt idx="25" formatCode="0.0%">
                  <c:v>3.6934306569343045E-2</c:v>
                </c:pt>
                <c:pt idx="26" formatCode="0.0%">
                  <c:v>3.8613138686131365E-2</c:v>
                </c:pt>
                <c:pt idx="27" formatCode="0.0%">
                  <c:v>4.0291970802919685E-2</c:v>
                </c:pt>
                <c:pt idx="28" formatCode="0.0%">
                  <c:v>4.1970802919708006E-2</c:v>
                </c:pt>
                <c:pt idx="29" formatCode="0.0%">
                  <c:v>4.3649635036496326E-2</c:v>
                </c:pt>
                <c:pt idx="30" formatCode="0.0%">
                  <c:v>4.5328467153284646E-2</c:v>
                </c:pt>
                <c:pt idx="31" formatCode="0.0%">
                  <c:v>4.7007299270072966E-2</c:v>
                </c:pt>
                <c:pt idx="32" formatCode="0.0%">
                  <c:v>4.8686131386861287E-2</c:v>
                </c:pt>
                <c:pt idx="33" formatCode="0.0%">
                  <c:v>5.0364963503649607E-2</c:v>
                </c:pt>
              </c:numCache>
            </c:numRef>
          </c:val>
          <c:extLst>
            <c:ext xmlns:c16="http://schemas.microsoft.com/office/drawing/2014/chart" uri="{C3380CC4-5D6E-409C-BE32-E72D297353CC}">
              <c16:uniqueId val="{00000007-3119-4DD8-BDAA-21587AF2C9CD}"/>
            </c:ext>
          </c:extLst>
        </c:ser>
        <c:ser>
          <c:idx val="5"/>
          <c:order val="6"/>
          <c:tx>
            <c:strRef>
              <c:f>'Main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3.2142857142857251E-3</c:v>
                </c:pt>
                <c:pt idx="14" formatCode="0.0%">
                  <c:v>6.4285714285714501E-3</c:v>
                </c:pt>
                <c:pt idx="15" formatCode="0.0%">
                  <c:v>9.6428571428571752E-3</c:v>
                </c:pt>
                <c:pt idx="16" formatCode="0.0%">
                  <c:v>1.28571428571429E-2</c:v>
                </c:pt>
                <c:pt idx="17" formatCode="0.0%">
                  <c:v>1.6071428571428625E-2</c:v>
                </c:pt>
                <c:pt idx="18" formatCode="0.0%">
                  <c:v>1.9285714285714239E-2</c:v>
                </c:pt>
                <c:pt idx="19" formatCode="0.0%">
                  <c:v>2.2499999999999964E-2</c:v>
                </c:pt>
                <c:pt idx="20" formatCode="0.0%">
                  <c:v>2.571428571428569E-2</c:v>
                </c:pt>
                <c:pt idx="21" formatCode="0.0%">
                  <c:v>2.8928571428571415E-2</c:v>
                </c:pt>
                <c:pt idx="22" formatCode="0.0%">
                  <c:v>3.214285714285714E-2</c:v>
                </c:pt>
                <c:pt idx="23" formatCode="0.0%">
                  <c:v>3.5357142857142865E-2</c:v>
                </c:pt>
                <c:pt idx="24" formatCode="0.0%">
                  <c:v>3.857142857142859E-2</c:v>
                </c:pt>
                <c:pt idx="25" formatCode="0.0%">
                  <c:v>4.1785714285714315E-2</c:v>
                </c:pt>
                <c:pt idx="26" formatCode="0.0%">
                  <c:v>4.500000000000004E-2</c:v>
                </c:pt>
                <c:pt idx="27" formatCode="0.0%">
                  <c:v>4.8214285714285765E-2</c:v>
                </c:pt>
                <c:pt idx="28" formatCode="0.0%">
                  <c:v>5.1428571428571379E-2</c:v>
                </c:pt>
                <c:pt idx="29" formatCode="0.0%">
                  <c:v>5.4642857142857104E-2</c:v>
                </c:pt>
                <c:pt idx="30" formatCode="0.0%">
                  <c:v>5.7857142857142829E-2</c:v>
                </c:pt>
                <c:pt idx="31" formatCode="0.0%">
                  <c:v>6.1071428571428554E-2</c:v>
                </c:pt>
                <c:pt idx="32" formatCode="0.0%">
                  <c:v>6.4285714285714279E-2</c:v>
                </c:pt>
                <c:pt idx="33" formatCode="0.0%">
                  <c:v>6.7500000000000004E-2</c:v>
                </c:pt>
              </c:numCache>
            </c:numRef>
          </c:val>
          <c:extLst>
            <c:ext xmlns:c16="http://schemas.microsoft.com/office/drawing/2014/chart" uri="{C3380CC4-5D6E-409C-BE32-E72D297353CC}">
              <c16:uniqueId val="{00000005-3119-4DD8-BDAA-21587AF2C9CD}"/>
            </c:ext>
          </c:extLst>
        </c:ser>
        <c:ser>
          <c:idx val="9"/>
          <c:order val="7"/>
          <c:tx>
            <c:strRef>
              <c:f>'Main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8.6538461538465672E-4</c:v>
                </c:pt>
                <c:pt idx="9" formatCode="0.0%">
                  <c:v>1.7307692307692024E-3</c:v>
                </c:pt>
                <c:pt idx="10" formatCode="0.0%">
                  <c:v>2.5961538461538591E-3</c:v>
                </c:pt>
                <c:pt idx="11" formatCode="0.0%">
                  <c:v>3.4615384615385159E-3</c:v>
                </c:pt>
                <c:pt idx="12" formatCode="0.0%">
                  <c:v>4.3269230769230616E-3</c:v>
                </c:pt>
                <c:pt idx="13" formatCode="0.0%">
                  <c:v>5.1923076923077183E-3</c:v>
                </c:pt>
                <c:pt idx="14" formatCode="0.0%">
                  <c:v>6.057692307692264E-3</c:v>
                </c:pt>
                <c:pt idx="15" formatCode="0.0%">
                  <c:v>6.9230769230769207E-3</c:v>
                </c:pt>
                <c:pt idx="16" formatCode="0.0%">
                  <c:v>7.7884615384615774E-3</c:v>
                </c:pt>
                <c:pt idx="17" formatCode="0.0%">
                  <c:v>8.6538461538461231E-3</c:v>
                </c:pt>
                <c:pt idx="18" formatCode="0.0%">
                  <c:v>9.5192307692307798E-3</c:v>
                </c:pt>
                <c:pt idx="19" formatCode="0.0%">
                  <c:v>1.0384615384615437E-2</c:v>
                </c:pt>
                <c:pt idx="20" formatCode="0.0%">
                  <c:v>1.1249999999999982E-2</c:v>
                </c:pt>
                <c:pt idx="21" formatCode="0.0%">
                  <c:v>1.2115384615384639E-2</c:v>
                </c:pt>
                <c:pt idx="22" formatCode="0.0%">
                  <c:v>1.2980769230769185E-2</c:v>
                </c:pt>
                <c:pt idx="23" formatCode="0.0%">
                  <c:v>1.3846153846153841E-2</c:v>
                </c:pt>
                <c:pt idx="24" formatCode="0.0%">
                  <c:v>1.4711538461538498E-2</c:v>
                </c:pt>
                <c:pt idx="25" formatCode="0.0%">
                  <c:v>1.5576923076923044E-2</c:v>
                </c:pt>
                <c:pt idx="26" formatCode="0.0%">
                  <c:v>1.6442307692307701E-2</c:v>
                </c:pt>
                <c:pt idx="27" formatCode="0.0%">
                  <c:v>1.7307692307692357E-2</c:v>
                </c:pt>
                <c:pt idx="28" formatCode="0.0%">
                  <c:v>1.8173076923076903E-2</c:v>
                </c:pt>
                <c:pt idx="29" formatCode="0.0%">
                  <c:v>1.903846153846156E-2</c:v>
                </c:pt>
                <c:pt idx="30" formatCode="0.0%">
                  <c:v>1.9903846153846105E-2</c:v>
                </c:pt>
                <c:pt idx="31" formatCode="0.0%">
                  <c:v>2.0769230769230762E-2</c:v>
                </c:pt>
                <c:pt idx="32" formatCode="0.0%">
                  <c:v>2.1634615384615419E-2</c:v>
                </c:pt>
                <c:pt idx="33" formatCode="0.0%">
                  <c:v>2.2499999999999964E-2</c:v>
                </c:pt>
              </c:numCache>
            </c:numRef>
          </c:val>
          <c:extLst>
            <c:ext xmlns:c16="http://schemas.microsoft.com/office/drawing/2014/chart" uri="{C3380CC4-5D6E-409C-BE32-E72D297353CC}">
              <c16:uniqueId val="{0000000A-3119-4DD8-BDAA-21587AF2C9CD}"/>
            </c:ext>
          </c:extLst>
        </c:ser>
        <c:ser>
          <c:idx val="6"/>
          <c:order val="8"/>
          <c:tx>
            <c:strRef>
              <c:f>'Main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calculations'!$FJ$7:$FJ$40</c:f>
              <c:numCache>
                <c:formatCode>0.00%</c:formatCode>
                <c:ptCount val="34"/>
                <c:pt idx="0">
                  <c:v>0</c:v>
                </c:pt>
                <c:pt idx="1">
                  <c:v>0</c:v>
                </c:pt>
                <c:pt idx="2">
                  <c:v>0</c:v>
                </c:pt>
                <c:pt idx="3">
                  <c:v>0</c:v>
                </c:pt>
                <c:pt idx="4" formatCode="0.0%">
                  <c:v>0</c:v>
                </c:pt>
                <c:pt idx="5" formatCode="0.0%">
                  <c:v>0</c:v>
                </c:pt>
                <c:pt idx="6" formatCode="0.0%">
                  <c:v>2.4999999999997247E-4</c:v>
                </c:pt>
                <c:pt idx="7" formatCode="0.0%">
                  <c:v>4.9999999999994493E-4</c:v>
                </c:pt>
                <c:pt idx="8" formatCode="0.0%">
                  <c:v>7.5000000000002842E-4</c:v>
                </c:pt>
                <c:pt idx="9" formatCode="0.0%">
                  <c:v>1.0000000000000009E-3</c:v>
                </c:pt>
                <c:pt idx="10" formatCode="0.0%">
                  <c:v>1.2499999999999734E-3</c:v>
                </c:pt>
                <c:pt idx="11" formatCode="0.0%">
                  <c:v>1.4999999999999458E-3</c:v>
                </c:pt>
                <c:pt idx="12" formatCode="0.0%">
                  <c:v>1.7500000000000293E-3</c:v>
                </c:pt>
                <c:pt idx="13" formatCode="0.0%">
                  <c:v>2.0000000000000018E-3</c:v>
                </c:pt>
                <c:pt idx="14" formatCode="0.0%">
                  <c:v>2.2499999999999742E-3</c:v>
                </c:pt>
                <c:pt idx="15" formatCode="0.0%">
                  <c:v>2.4999999999999467E-3</c:v>
                </c:pt>
                <c:pt idx="16" formatCode="0.0%">
                  <c:v>2.7500000000000302E-3</c:v>
                </c:pt>
                <c:pt idx="17" formatCode="0.0%">
                  <c:v>3.0000000000000027E-3</c:v>
                </c:pt>
                <c:pt idx="18" formatCode="0.0%">
                  <c:v>3.2499999999999751E-3</c:v>
                </c:pt>
                <c:pt idx="19" formatCode="0.0%">
                  <c:v>3.4999999999999476E-3</c:v>
                </c:pt>
                <c:pt idx="20" formatCode="0.0%">
                  <c:v>3.7500000000000311E-3</c:v>
                </c:pt>
                <c:pt idx="21" formatCode="0.0%">
                  <c:v>4.0000000000000036E-3</c:v>
                </c:pt>
                <c:pt idx="22" formatCode="0.0%">
                  <c:v>4.249999999999976E-3</c:v>
                </c:pt>
                <c:pt idx="23" formatCode="0.0%">
                  <c:v>4.4999999999999485E-3</c:v>
                </c:pt>
                <c:pt idx="24" formatCode="0.0%">
                  <c:v>4.750000000000032E-3</c:v>
                </c:pt>
                <c:pt idx="25" formatCode="0.0%">
                  <c:v>5.0000000000000044E-3</c:v>
                </c:pt>
                <c:pt idx="26" formatCode="0.0%">
                  <c:v>5.2499999999999769E-3</c:v>
                </c:pt>
                <c:pt idx="27" formatCode="0.0%">
                  <c:v>5.4999999999999494E-3</c:v>
                </c:pt>
                <c:pt idx="28" formatCode="0.0%">
                  <c:v>5.7500000000000329E-3</c:v>
                </c:pt>
                <c:pt idx="29" formatCode="0.0%">
                  <c:v>6.0000000000000053E-3</c:v>
                </c:pt>
                <c:pt idx="30" formatCode="0.0%">
                  <c:v>6.2499999999999778E-3</c:v>
                </c:pt>
                <c:pt idx="31" formatCode="0.0%">
                  <c:v>6.4999999999999503E-3</c:v>
                </c:pt>
                <c:pt idx="32" formatCode="0.0%">
                  <c:v>6.7500000000000338E-3</c:v>
                </c:pt>
                <c:pt idx="33" formatCode="0.0%">
                  <c:v>7.0000000000000062E-3</c:v>
                </c:pt>
              </c:numCache>
            </c:numRef>
          </c:val>
          <c:extLst>
            <c:ext xmlns:c16="http://schemas.microsoft.com/office/drawing/2014/chart" uri="{C3380CC4-5D6E-409C-BE32-E72D297353CC}">
              <c16:uniqueId val="{00000006-3119-4DD8-BDAA-21587AF2C9CD}"/>
            </c:ext>
          </c:extLst>
        </c:ser>
        <c:ser>
          <c:idx val="3"/>
          <c:order val="9"/>
          <c:tx>
            <c:strRef>
              <c:f>'Main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calculations'!$FK$7:$FK$40</c:f>
              <c:numCache>
                <c:formatCode>0.00%</c:formatCode>
                <c:ptCount val="34"/>
                <c:pt idx="0">
                  <c:v>0</c:v>
                </c:pt>
                <c:pt idx="1">
                  <c:v>0</c:v>
                </c:pt>
                <c:pt idx="2">
                  <c:v>0</c:v>
                </c:pt>
                <c:pt idx="3">
                  <c:v>0</c:v>
                </c:pt>
                <c:pt idx="4" formatCode="0.0%">
                  <c:v>9.5999999999996088E-4</c:v>
                </c:pt>
                <c:pt idx="5" formatCode="0.0%">
                  <c:v>1.9200000000000328E-3</c:v>
                </c:pt>
                <c:pt idx="6" formatCode="0.0%">
                  <c:v>2.8799999999999937E-3</c:v>
                </c:pt>
                <c:pt idx="7" formatCode="0.0%">
                  <c:v>3.8399999999999546E-3</c:v>
                </c:pt>
                <c:pt idx="8" formatCode="0.0%">
                  <c:v>4.8000000000000265E-3</c:v>
                </c:pt>
                <c:pt idx="9" formatCode="0.0%">
                  <c:v>5.7599999999999874E-3</c:v>
                </c:pt>
                <c:pt idx="10" formatCode="0.0%">
                  <c:v>6.7199999999999482E-3</c:v>
                </c:pt>
                <c:pt idx="11" formatCode="0.0%">
                  <c:v>7.6800000000000201E-3</c:v>
                </c:pt>
                <c:pt idx="12" formatCode="0.0%">
                  <c:v>8.639999999999981E-3</c:v>
                </c:pt>
                <c:pt idx="13" formatCode="0.0%">
                  <c:v>9.6000000000000529E-3</c:v>
                </c:pt>
                <c:pt idx="14" formatCode="0.0%">
                  <c:v>1.0560000000000014E-2</c:v>
                </c:pt>
                <c:pt idx="15" formatCode="0.0%">
                  <c:v>1.1519999999999975E-2</c:v>
                </c:pt>
                <c:pt idx="16" formatCode="0.0%">
                  <c:v>1.2480000000000047E-2</c:v>
                </c:pt>
                <c:pt idx="17" formatCode="0.0%">
                  <c:v>1.3440000000000007E-2</c:v>
                </c:pt>
                <c:pt idx="18" formatCode="0.0%">
                  <c:v>1.4399999999999968E-2</c:v>
                </c:pt>
                <c:pt idx="19" formatCode="0.0%">
                  <c:v>1.536000000000004E-2</c:v>
                </c:pt>
                <c:pt idx="20" formatCode="0.0%">
                  <c:v>1.6320000000000001E-2</c:v>
                </c:pt>
                <c:pt idx="21" formatCode="0.0%">
                  <c:v>1.7279999999999962E-2</c:v>
                </c:pt>
                <c:pt idx="22" formatCode="0.0%">
                  <c:v>1.8240000000000034E-2</c:v>
                </c:pt>
                <c:pt idx="23" formatCode="0.0%">
                  <c:v>1.9199999999999995E-2</c:v>
                </c:pt>
                <c:pt idx="24" formatCode="0.0%">
                  <c:v>2.0159999999999956E-2</c:v>
                </c:pt>
                <c:pt idx="25" formatCode="0.0%">
                  <c:v>2.1120000000000028E-2</c:v>
                </c:pt>
                <c:pt idx="26" formatCode="0.0%">
                  <c:v>2.2079999999999989E-2</c:v>
                </c:pt>
                <c:pt idx="27" formatCode="0.0%">
                  <c:v>2.3039999999999949E-2</c:v>
                </c:pt>
                <c:pt idx="28" formatCode="0.0%">
                  <c:v>2.4000000000000021E-2</c:v>
                </c:pt>
                <c:pt idx="29" formatCode="0.0%">
                  <c:v>2.4959999999999982E-2</c:v>
                </c:pt>
                <c:pt idx="30" formatCode="0.0%">
                  <c:v>2.5919999999999943E-2</c:v>
                </c:pt>
                <c:pt idx="31" formatCode="0.0%">
                  <c:v>2.6880000000000015E-2</c:v>
                </c:pt>
                <c:pt idx="32" formatCode="0.0%">
                  <c:v>2.7839999999999976E-2</c:v>
                </c:pt>
                <c:pt idx="33" formatCode="0.0%">
                  <c:v>2.8799999999999937E-2</c:v>
                </c:pt>
              </c:numCache>
            </c:numRef>
          </c:val>
          <c:extLst>
            <c:ext xmlns:c16="http://schemas.microsoft.com/office/drawing/2014/chart" uri="{C3380CC4-5D6E-409C-BE32-E72D297353CC}">
              <c16:uniqueId val="{0000001E-3119-4DD8-BDAA-21587AF2C9C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02-3119-4DD8-BDAA-21587AF2C9CD}"/>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F-3119-4DD8-BDAA-21587AF2C9CD}"/>
              </c:ext>
            </c:extLst>
          </c:dPt>
          <c:dLbls>
            <c:dLbl>
              <c:idx val="3"/>
              <c:layout>
                <c:manualLayout>
                  <c:x val="-4.235217740639563E-2"/>
                  <c:y val="0.31297782842934097"/>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19673829342760726"/>
                      <c:h val="2.8254455035225855E-2"/>
                    </c:manualLayout>
                  </c15:layout>
                </c:ext>
                <c:ext xmlns:c16="http://schemas.microsoft.com/office/drawing/2014/chart" uri="{C3380CC4-5D6E-409C-BE32-E72D297353CC}">
                  <c16:uniqueId val="{0000001F-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0B-3119-4DD8-BDAA-21587AF2C9C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8-3119-4DD8-BDAA-21587AF2C9C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Carbon Reduction up to 2050: 40% BEV uptake scenario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'Main calculations'!$GT$6</c:f>
              <c:strCache>
                <c:ptCount val="1"/>
                <c:pt idx="0">
                  <c:v>Residual emissions</c:v>
                </c:pt>
              </c:strCache>
            </c:strRef>
          </c:tx>
          <c:spPr>
            <a:solidFill>
              <a:schemeClr val="bg1">
                <a:lumMod val="85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calculations'!$GT$7:$GT$40</c:f>
              <c:numCache>
                <c:formatCode>0%</c:formatCode>
                <c:ptCount val="34"/>
                <c:pt idx="0">
                  <c:v>1</c:v>
                </c:pt>
                <c:pt idx="1">
                  <c:v>0.98333333333333328</c:v>
                </c:pt>
                <c:pt idx="2">
                  <c:v>0.96666666666666656</c:v>
                </c:pt>
                <c:pt idx="3" formatCode="0.00%">
                  <c:v>0.95</c:v>
                </c:pt>
                <c:pt idx="4" formatCode="0.00%">
                  <c:v>0.93404941176470579</c:v>
                </c:pt>
                <c:pt idx="5" formatCode="0.00%">
                  <c:v>0.91809882352941174</c:v>
                </c:pt>
                <c:pt idx="6" formatCode="0.00%">
                  <c:v>0.90002865288638811</c:v>
                </c:pt>
                <c:pt idx="7" formatCode="0.00%">
                  <c:v>0.88177788370423416</c:v>
                </c:pt>
                <c:pt idx="8" formatCode="0.00%">
                  <c:v>0.86248113136756499</c:v>
                </c:pt>
                <c:pt idx="9" formatCode="0.00%">
                  <c:v>0.84300378049176561</c:v>
                </c:pt>
                <c:pt idx="10" formatCode="0.00%">
                  <c:v>0.82334583107683568</c:v>
                </c:pt>
                <c:pt idx="11" formatCode="0.00%">
                  <c:v>0.8035072831227752</c:v>
                </c:pt>
                <c:pt idx="12" formatCode="0.00%">
                  <c:v>0.7834881366295845</c:v>
                </c:pt>
                <c:pt idx="13" formatCode="0.00%">
                  <c:v>0.76007410588297741</c:v>
                </c:pt>
                <c:pt idx="14" formatCode="0.00%">
                  <c:v>0.73647947659724011</c:v>
                </c:pt>
                <c:pt idx="15" formatCode="0.00%">
                  <c:v>0.71270424877237226</c:v>
                </c:pt>
                <c:pt idx="16" formatCode="0.00%">
                  <c:v>0.68874842240837397</c:v>
                </c:pt>
                <c:pt idx="17" formatCode="0.00%">
                  <c:v>0.66461199750524524</c:v>
                </c:pt>
                <c:pt idx="18" formatCode="0.00%">
                  <c:v>0.6402949740629863</c:v>
                </c:pt>
                <c:pt idx="19" formatCode="0.00%">
                  <c:v>0.61579735208159647</c:v>
                </c:pt>
                <c:pt idx="20" formatCode="0.00%">
                  <c:v>0.59111913156107654</c:v>
                </c:pt>
                <c:pt idx="21" formatCode="0.00%">
                  <c:v>0.57125090073672036</c:v>
                </c:pt>
                <c:pt idx="22" formatCode="0.00%">
                  <c:v>0.55120207137323352</c:v>
                </c:pt>
                <c:pt idx="23" formatCode="0.00%">
                  <c:v>0.53097264347061635</c:v>
                </c:pt>
                <c:pt idx="24" formatCode="0.00%">
                  <c:v>0.51056261702886863</c:v>
                </c:pt>
                <c:pt idx="25" formatCode="0.00%">
                  <c:v>0.48997199204799036</c:v>
                </c:pt>
                <c:pt idx="26" formatCode="0.00%">
                  <c:v>0.46920076852798209</c:v>
                </c:pt>
                <c:pt idx="27" formatCode="0.00%">
                  <c:v>0.44824894646884317</c:v>
                </c:pt>
                <c:pt idx="28" formatCode="0.00%">
                  <c:v>0.42711652587057358</c:v>
                </c:pt>
                <c:pt idx="29" formatCode="0.00%">
                  <c:v>0.40580350673317389</c:v>
                </c:pt>
                <c:pt idx="30" formatCode="0.00%">
                  <c:v>0.38430988905664387</c:v>
                </c:pt>
                <c:pt idx="31" formatCode="0.00%">
                  <c:v>0.36263567284098297</c:v>
                </c:pt>
                <c:pt idx="32" formatCode="0.00%">
                  <c:v>0.34078085808619174</c:v>
                </c:pt>
                <c:pt idx="33" formatCode="0.00%">
                  <c:v>0.3187454447922704</c:v>
                </c:pt>
              </c:numCache>
            </c:numRef>
          </c:val>
          <c:extLst>
            <c:ext xmlns:c16="http://schemas.microsoft.com/office/drawing/2014/chart" uri="{C3380CC4-5D6E-409C-BE32-E72D297353CC}">
              <c16:uniqueId val="{00000001-3119-4DD8-BDAA-21587AF2C9CD}"/>
            </c:ext>
          </c:extLst>
        </c:ser>
        <c:ser>
          <c:idx val="11"/>
          <c:order val="1"/>
          <c:tx>
            <c:strRef>
              <c:f>'Main calculations'!$GV$6</c:f>
              <c:strCache>
                <c:ptCount val="1"/>
                <c:pt idx="0">
                  <c:v>40% BEV</c:v>
                </c:pt>
              </c:strCache>
            </c:strRef>
          </c:tx>
          <c:spPr>
            <a:solidFill>
              <a:schemeClr val="accent4">
                <a:lumMod val="60000"/>
                <a:lumOff val="4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calculations'!$GV$7:$GV$40</c:f>
              <c:numCache>
                <c:formatCode>0.00%</c:formatCode>
                <c:ptCount val="34"/>
                <c:pt idx="0">
                  <c:v>0</c:v>
                </c:pt>
                <c:pt idx="1">
                  <c:v>0</c:v>
                </c:pt>
                <c:pt idx="2">
                  <c:v>0</c:v>
                </c:pt>
                <c:pt idx="3">
                  <c:v>0</c:v>
                </c:pt>
                <c:pt idx="4" formatCode="0.0%">
                  <c:v>0</c:v>
                </c:pt>
                <c:pt idx="5" formatCode="0.0%">
                  <c:v>0</c:v>
                </c:pt>
                <c:pt idx="6" formatCode="0.0%">
                  <c:v>3.1040268521739132E-3</c:v>
                </c:pt>
                <c:pt idx="7" formatCode="0.0%">
                  <c:v>6.3886522434782617E-3</c:v>
                </c:pt>
                <c:pt idx="8" formatCode="0.0%">
                  <c:v>9.8538761739130447E-3</c:v>
                </c:pt>
                <c:pt idx="9" formatCode="0.0%">
                  <c:v>1.3499698643478263E-2</c:v>
                </c:pt>
                <c:pt idx="10" formatCode="0.0%">
                  <c:v>1.7326119652173917E-2</c:v>
                </c:pt>
                <c:pt idx="11" formatCode="0.0%">
                  <c:v>2.1333139200000004E-2</c:v>
                </c:pt>
                <c:pt idx="12" formatCode="0.0%">
                  <c:v>2.5520757286956526E-2</c:v>
                </c:pt>
                <c:pt idx="13" formatCode="0.0%">
                  <c:v>2.988897391304348E-2</c:v>
                </c:pt>
                <c:pt idx="14" formatCode="0.0%">
                  <c:v>3.4437789078260866E-2</c:v>
                </c:pt>
                <c:pt idx="15" formatCode="0.0%">
                  <c:v>3.9167202782608698E-2</c:v>
                </c:pt>
                <c:pt idx="16" formatCode="0.0%">
                  <c:v>4.4077215026086955E-2</c:v>
                </c:pt>
                <c:pt idx="17" formatCode="0.0%">
                  <c:v>4.9167825808695664E-2</c:v>
                </c:pt>
                <c:pt idx="18" formatCode="0.0%">
                  <c:v>5.4439035130434792E-2</c:v>
                </c:pt>
                <c:pt idx="19" formatCode="0.0%">
                  <c:v>5.9890842991304358E-2</c:v>
                </c:pt>
                <c:pt idx="20" formatCode="0.0%">
                  <c:v>6.5523249391304356E-2</c:v>
                </c:pt>
                <c:pt idx="21" formatCode="0.0%">
                  <c:v>7.1336254330434806E-2</c:v>
                </c:pt>
                <c:pt idx="22" formatCode="0.0%">
                  <c:v>7.7329857808695668E-2</c:v>
                </c:pt>
                <c:pt idx="23" formatCode="0.0%">
                  <c:v>8.3504059826086968E-2</c:v>
                </c:pt>
                <c:pt idx="24" formatCode="0.0%">
                  <c:v>8.9858860382608707E-2</c:v>
                </c:pt>
                <c:pt idx="25" formatCode="0.0%">
                  <c:v>9.6394259478260885E-2</c:v>
                </c:pt>
                <c:pt idx="26" formatCode="0.0%">
                  <c:v>0.10311025711304352</c:v>
                </c:pt>
                <c:pt idx="27" formatCode="0.0%">
                  <c:v>0.11000685328695656</c:v>
                </c:pt>
                <c:pt idx="28" formatCode="0.0%">
                  <c:v>0.11708404800000002</c:v>
                </c:pt>
                <c:pt idx="29" formatCode="0.0%">
                  <c:v>0.12434184125217396</c:v>
                </c:pt>
                <c:pt idx="30" formatCode="0.0%">
                  <c:v>0.1317802330434783</c:v>
                </c:pt>
                <c:pt idx="31" formatCode="0.0%">
                  <c:v>0.13939922337391311</c:v>
                </c:pt>
                <c:pt idx="32" formatCode="0.0%">
                  <c:v>0.14719881224347833</c:v>
                </c:pt>
                <c:pt idx="33" formatCode="0.0%">
                  <c:v>0.15517899965217399</c:v>
                </c:pt>
              </c:numCache>
            </c:numRef>
          </c:val>
          <c:extLst>
            <c:ext xmlns:c16="http://schemas.microsoft.com/office/drawing/2014/chart" uri="{C3380CC4-5D6E-409C-BE32-E72D297353CC}">
              <c16:uniqueId val="{0000001A-3119-4DD8-BDAA-21587AF2C9CD}"/>
            </c:ext>
          </c:extLst>
        </c:ser>
        <c:ser>
          <c:idx val="4"/>
          <c:order val="2"/>
          <c:tx>
            <c:strRef>
              <c:f>'Main calculations'!$GW$6</c:f>
              <c:strCache>
                <c:ptCount val="1"/>
                <c:pt idx="0">
                  <c:v>ICE fuel efficiency@40%BEV</c:v>
                </c:pt>
              </c:strCache>
            </c:strRef>
          </c:tx>
          <c:spPr>
            <a:solidFill>
              <a:schemeClr val="accent1">
                <a:lumMod val="20000"/>
                <a:lumOff val="80000"/>
              </a:schemeClr>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calculations'!$GW$7:$GW$40</c:f>
              <c:numCache>
                <c:formatCode>0.00%</c:formatCode>
                <c:ptCount val="34"/>
                <c:pt idx="0">
                  <c:v>0</c:v>
                </c:pt>
                <c:pt idx="1">
                  <c:v>0</c:v>
                </c:pt>
                <c:pt idx="2">
                  <c:v>0</c:v>
                </c:pt>
                <c:pt idx="3">
                  <c:v>0</c:v>
                </c:pt>
                <c:pt idx="4" formatCode="0.0%">
                  <c:v>4.9905882352941156E-3</c:v>
                </c:pt>
                <c:pt idx="5" formatCode="0.0%">
                  <c:v>9.9811764705882312E-3</c:v>
                </c:pt>
                <c:pt idx="6" formatCode="0.0%">
                  <c:v>1.3737320261437903E-2</c:v>
                </c:pt>
                <c:pt idx="7" formatCode="0.0%">
                  <c:v>1.749346405228757E-2</c:v>
                </c:pt>
                <c:pt idx="8" formatCode="0.0%">
                  <c:v>2.1249607843137244E-2</c:v>
                </c:pt>
                <c:pt idx="9" formatCode="0.0%">
                  <c:v>2.5005751633986918E-2</c:v>
                </c:pt>
                <c:pt idx="10" formatCode="0.0%">
                  <c:v>2.8761895424836585E-2</c:v>
                </c:pt>
                <c:pt idx="11" formatCode="0.0%">
                  <c:v>3.2518039215686266E-2</c:v>
                </c:pt>
                <c:pt idx="12" formatCode="0.0%">
                  <c:v>3.627418300653594E-2</c:v>
                </c:pt>
                <c:pt idx="13" formatCode="0.0%">
                  <c:v>4.0030326797385607E-2</c:v>
                </c:pt>
                <c:pt idx="14" formatCode="0.0%">
                  <c:v>4.3786470588235274E-2</c:v>
                </c:pt>
                <c:pt idx="15" formatCode="0.0%">
                  <c:v>4.7542614379084948E-2</c:v>
                </c:pt>
                <c:pt idx="16" formatCode="0.0%">
                  <c:v>5.1298758169934615E-2</c:v>
                </c:pt>
                <c:pt idx="17" formatCode="0.0%">
                  <c:v>5.5054901960784289E-2</c:v>
                </c:pt>
                <c:pt idx="18" formatCode="0.0%">
                  <c:v>5.881104575163397E-2</c:v>
                </c:pt>
                <c:pt idx="19" formatCode="0.0%">
                  <c:v>6.2567189542483664E-2</c:v>
                </c:pt>
                <c:pt idx="20" formatCode="0.0%">
                  <c:v>6.6323333333333317E-2</c:v>
                </c:pt>
                <c:pt idx="21" formatCode="0.0%">
                  <c:v>6.5088888888888877E-2</c:v>
                </c:pt>
                <c:pt idx="22" formatCode="0.0%">
                  <c:v>6.3854444444444422E-2</c:v>
                </c:pt>
                <c:pt idx="23" formatCode="0.0%">
                  <c:v>6.2619999999999995E-2</c:v>
                </c:pt>
                <c:pt idx="24" formatCode="0.0%">
                  <c:v>6.1385555555555534E-2</c:v>
                </c:pt>
                <c:pt idx="25" formatCode="0.0%">
                  <c:v>6.01511111111111E-2</c:v>
                </c:pt>
                <c:pt idx="26" formatCode="0.0%">
                  <c:v>5.8916666666666645E-2</c:v>
                </c:pt>
                <c:pt idx="27" formatCode="0.0%">
                  <c:v>5.7682222222222218E-2</c:v>
                </c:pt>
                <c:pt idx="28" formatCode="0.0%">
                  <c:v>5.6447777777777784E-2</c:v>
                </c:pt>
                <c:pt idx="29" formatCode="0.0%">
                  <c:v>5.5213333333333323E-2</c:v>
                </c:pt>
                <c:pt idx="30" formatCode="0.0%">
                  <c:v>5.3978888888888896E-2</c:v>
                </c:pt>
                <c:pt idx="31" formatCode="0.0%">
                  <c:v>5.2744444444444441E-2</c:v>
                </c:pt>
                <c:pt idx="32" formatCode="0.0%">
                  <c:v>5.1510000000000007E-2</c:v>
                </c:pt>
                <c:pt idx="33" formatCode="0.0%">
                  <c:v>5.0275555555555546E-2</c:v>
                </c:pt>
              </c:numCache>
            </c:numRef>
          </c:val>
          <c:extLst>
            <c:ext xmlns:c16="http://schemas.microsoft.com/office/drawing/2014/chart" uri="{C3380CC4-5D6E-409C-BE32-E72D297353CC}">
              <c16:uniqueId val="{00000004-3119-4DD8-BDAA-21587AF2C9CD}"/>
            </c:ext>
          </c:extLst>
        </c:ser>
        <c:ser>
          <c:idx val="0"/>
          <c:order val="3"/>
          <c:tx>
            <c:strRef>
              <c:f>'Main calculations'!$FE$6</c:f>
              <c:strCache>
                <c:ptCount val="1"/>
                <c:pt idx="0">
                  <c:v>Trips &gt; 8km (car to PT/carpool)</c:v>
                </c:pt>
              </c:strCache>
            </c:strRef>
          </c:tx>
          <c:spPr>
            <a:solidFill>
              <a:schemeClr val="accent6">
                <a:lumMod val="60000"/>
                <a:lumOff val="40000"/>
              </a:schemeClr>
            </a:solidFill>
            <a:ln>
              <a:noFill/>
            </a:ln>
            <a:effectLst/>
          </c:spPr>
          <c:dLbls>
            <c:dLbl>
              <c:idx val="0"/>
              <c:layout>
                <c:manualLayout>
                  <c:x val="0.19645736627815938"/>
                  <c:y val="3.87755164350821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calculations'!$FE$7:$FE$40</c:f>
              <c:numCache>
                <c:formatCode>0.00%</c:formatCode>
                <c:ptCount val="34"/>
                <c:pt idx="0">
                  <c:v>0</c:v>
                </c:pt>
                <c:pt idx="1">
                  <c:v>0</c:v>
                </c:pt>
                <c:pt idx="2">
                  <c:v>0</c:v>
                </c:pt>
                <c:pt idx="3">
                  <c:v>0</c:v>
                </c:pt>
                <c:pt idx="4" formatCode="0.0%">
                  <c:v>8.1751824817518637E-3</c:v>
                </c:pt>
                <c:pt idx="5" formatCode="0.0%">
                  <c:v>1.6350364963503616E-2</c:v>
                </c:pt>
                <c:pt idx="6" formatCode="0.0%">
                  <c:v>2.452554744525548E-2</c:v>
                </c:pt>
                <c:pt idx="7" formatCode="0.0%">
                  <c:v>3.2700729927007344E-2</c:v>
                </c:pt>
                <c:pt idx="8" formatCode="0.0%">
                  <c:v>4.0875912408759096E-2</c:v>
                </c:pt>
                <c:pt idx="9" formatCode="0.0%">
                  <c:v>4.905109489051096E-2</c:v>
                </c:pt>
                <c:pt idx="10" formatCode="0.0%">
                  <c:v>5.7226277372262824E-2</c:v>
                </c:pt>
                <c:pt idx="11" formatCode="0.0%">
                  <c:v>6.5401459854014576E-2</c:v>
                </c:pt>
                <c:pt idx="12" formatCode="0.0%">
                  <c:v>7.357664233576644E-2</c:v>
                </c:pt>
                <c:pt idx="13" formatCode="0.0%">
                  <c:v>8.1751824817518193E-2</c:v>
                </c:pt>
                <c:pt idx="14" formatCode="0.0%">
                  <c:v>8.9927007299270056E-2</c:v>
                </c:pt>
                <c:pt idx="15" formatCode="0.0%">
                  <c:v>9.810218978102192E-2</c:v>
                </c:pt>
                <c:pt idx="16" formatCode="0.0%">
                  <c:v>0.10627737226277367</c:v>
                </c:pt>
                <c:pt idx="17" formatCode="0.0%">
                  <c:v>0.11445255474452554</c:v>
                </c:pt>
                <c:pt idx="18" formatCode="0.0%">
                  <c:v>0.1226277372262774</c:v>
                </c:pt>
                <c:pt idx="19" formatCode="0.0%">
                  <c:v>0.13080291970802915</c:v>
                </c:pt>
                <c:pt idx="20" formatCode="0.0%">
                  <c:v>0.13897810218978102</c:v>
                </c:pt>
                <c:pt idx="21" formatCode="0.0%">
                  <c:v>0.14715328467153288</c:v>
                </c:pt>
                <c:pt idx="22" formatCode="0.0%">
                  <c:v>0.15532846715328463</c:v>
                </c:pt>
                <c:pt idx="23" formatCode="0.0%">
                  <c:v>0.1635036496350365</c:v>
                </c:pt>
                <c:pt idx="24" formatCode="0.0%">
                  <c:v>0.17167883211678836</c:v>
                </c:pt>
                <c:pt idx="25" formatCode="0.0%">
                  <c:v>0.17985401459854022</c:v>
                </c:pt>
                <c:pt idx="26" formatCode="0.0%">
                  <c:v>0.18802919708029198</c:v>
                </c:pt>
                <c:pt idx="27" formatCode="0.0%">
                  <c:v>0.19620437956204384</c:v>
                </c:pt>
                <c:pt idx="28" formatCode="0.0%">
                  <c:v>0.2043795620437957</c:v>
                </c:pt>
                <c:pt idx="29" formatCode="0.0%">
                  <c:v>0.21255474452554757</c:v>
                </c:pt>
                <c:pt idx="30" formatCode="0.0%">
                  <c:v>0.22072992700729938</c:v>
                </c:pt>
                <c:pt idx="31" formatCode="0.0%">
                  <c:v>0.22890510948905118</c:v>
                </c:pt>
                <c:pt idx="32" formatCode="0.0%">
                  <c:v>0.23708029197080305</c:v>
                </c:pt>
                <c:pt idx="33" formatCode="0.0%">
                  <c:v>0.24525547445255491</c:v>
                </c:pt>
              </c:numCache>
            </c:numRef>
          </c:val>
          <c:extLst>
            <c:ext xmlns:c16="http://schemas.microsoft.com/office/drawing/2014/chart" uri="{C3380CC4-5D6E-409C-BE32-E72D297353CC}">
              <c16:uniqueId val="{00000000-3119-4DD8-BDAA-21587AF2C9CD}"/>
            </c:ext>
          </c:extLst>
        </c:ser>
        <c:ser>
          <c:idx val="12"/>
          <c:order val="4"/>
          <c:tx>
            <c:strRef>
              <c:f>'Main calculations'!$FF$6</c:f>
              <c:strCache>
                <c:ptCount val="1"/>
                <c:pt idx="0">
                  <c:v>Trips 3-8km (car to cycle/PT)</c:v>
                </c:pt>
              </c:strCache>
            </c:strRef>
          </c:tx>
          <c:spPr>
            <a:solidFill>
              <a:schemeClr val="accent6">
                <a:lumMod val="40000"/>
                <a:lumOff val="60000"/>
              </a:schemeClr>
            </a:solidFill>
            <a:ln w="25400">
              <a:noFill/>
            </a:ln>
            <a:effectLst/>
          </c:spPr>
          <c:dLbls>
            <c:dLbl>
              <c:idx val="0"/>
              <c:layout>
                <c:manualLayout>
                  <c:x val="0.11848619077360956"/>
                  <c:y val="2.0408166544780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calculations'!$FF$7:$FF$40</c:f>
              <c:numCache>
                <c:formatCode>0.00%</c:formatCode>
                <c:ptCount val="34"/>
                <c:pt idx="0">
                  <c:v>0</c:v>
                </c:pt>
                <c:pt idx="1">
                  <c:v>0</c:v>
                </c:pt>
                <c:pt idx="2">
                  <c:v>0</c:v>
                </c:pt>
                <c:pt idx="3">
                  <c:v>0</c:v>
                </c:pt>
                <c:pt idx="4" formatCode="0.0%">
                  <c:v>3.4793187347932353E-3</c:v>
                </c:pt>
                <c:pt idx="5" formatCode="0.0%">
                  <c:v>6.9586374695863595E-3</c:v>
                </c:pt>
                <c:pt idx="6" formatCode="0.0%">
                  <c:v>1.0437956204379595E-2</c:v>
                </c:pt>
                <c:pt idx="7" formatCode="0.0%">
                  <c:v>1.3917274939172719E-2</c:v>
                </c:pt>
                <c:pt idx="8" formatCode="0.0%">
                  <c:v>1.7396593673965954E-2</c:v>
                </c:pt>
                <c:pt idx="9" formatCode="0.0%">
                  <c:v>2.0875912408759079E-2</c:v>
                </c:pt>
                <c:pt idx="10" formatCode="0.0%">
                  <c:v>2.4355231143552314E-2</c:v>
                </c:pt>
                <c:pt idx="11" formatCode="0.0%">
                  <c:v>2.7834549878345549E-2</c:v>
                </c:pt>
                <c:pt idx="12" formatCode="0.0%">
                  <c:v>3.1313868613138673E-2</c:v>
                </c:pt>
                <c:pt idx="13" formatCode="0.0%">
                  <c:v>3.4793187347931909E-2</c:v>
                </c:pt>
                <c:pt idx="14" formatCode="0.0%">
                  <c:v>3.8272506082725033E-2</c:v>
                </c:pt>
                <c:pt idx="15" formatCode="0.0%">
                  <c:v>4.1751824817518268E-2</c:v>
                </c:pt>
                <c:pt idx="16" formatCode="0.0%">
                  <c:v>4.5231143552311392E-2</c:v>
                </c:pt>
                <c:pt idx="17" formatCode="0.0%">
                  <c:v>4.8710462287104628E-2</c:v>
                </c:pt>
                <c:pt idx="18" formatCode="0.0%">
                  <c:v>5.2189781021897752E-2</c:v>
                </c:pt>
                <c:pt idx="19" formatCode="0.0%">
                  <c:v>5.5669099756690987E-2</c:v>
                </c:pt>
                <c:pt idx="20" formatCode="0.0%">
                  <c:v>5.9148418491484223E-2</c:v>
                </c:pt>
                <c:pt idx="21" formatCode="0.0%">
                  <c:v>6.2627737226277347E-2</c:v>
                </c:pt>
                <c:pt idx="22" formatCode="0.0%">
                  <c:v>6.6107055961070582E-2</c:v>
                </c:pt>
                <c:pt idx="23" formatCode="0.0%">
                  <c:v>6.9586374695863706E-2</c:v>
                </c:pt>
                <c:pt idx="24" formatCode="0.0%">
                  <c:v>7.3065693430656942E-2</c:v>
                </c:pt>
                <c:pt idx="25" formatCode="0.0%">
                  <c:v>7.6545012165450177E-2</c:v>
                </c:pt>
                <c:pt idx="26" formatCode="0.0%">
                  <c:v>8.0024330900243301E-2</c:v>
                </c:pt>
                <c:pt idx="27" formatCode="0.0%">
                  <c:v>8.3503649635036536E-2</c:v>
                </c:pt>
                <c:pt idx="28" formatCode="0.0%">
                  <c:v>8.6982968369829772E-2</c:v>
                </c:pt>
                <c:pt idx="29" formatCode="0.0%">
                  <c:v>9.0462287104622896E-2</c:v>
                </c:pt>
                <c:pt idx="30" formatCode="0.0%">
                  <c:v>9.3941605839416131E-2</c:v>
                </c:pt>
                <c:pt idx="31" formatCode="0.0%">
                  <c:v>9.7420924574209256E-2</c:v>
                </c:pt>
                <c:pt idx="32" formatCode="0.0%">
                  <c:v>0.10090024330900249</c:v>
                </c:pt>
                <c:pt idx="33" formatCode="0.0%">
                  <c:v>0.10437956204379573</c:v>
                </c:pt>
              </c:numCache>
            </c:numRef>
          </c:val>
          <c:extLst>
            <c:ext xmlns:c16="http://schemas.microsoft.com/office/drawing/2014/chart" uri="{C3380CC4-5D6E-409C-BE32-E72D297353CC}">
              <c16:uniqueId val="{0000001D-3119-4DD8-BDAA-21587AF2C9CD}"/>
            </c:ext>
          </c:extLst>
        </c:ser>
        <c:ser>
          <c:idx val="7"/>
          <c:order val="5"/>
          <c:tx>
            <c:strRef>
              <c:f>'Main calculations'!$FG$6</c:f>
              <c:strCache>
                <c:ptCount val="1"/>
                <c:pt idx="0">
                  <c:v>Trips &lt; 3km (car to walk/cycle)</c:v>
                </c:pt>
              </c:strCache>
            </c:strRef>
          </c:tx>
          <c:spPr>
            <a:solidFill>
              <a:schemeClr val="accent6">
                <a:lumMod val="20000"/>
                <a:lumOff val="80000"/>
              </a:schemeClr>
            </a:solidFill>
            <a:ln>
              <a:noFill/>
            </a:ln>
            <a:effectLst/>
          </c:spPr>
          <c:dLbls>
            <c:dLbl>
              <c:idx val="0"/>
              <c:layout>
                <c:manualLayout>
                  <c:x val="0.29521355124975318"/>
                  <c:y val="3.061224981717014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calculations'!$FG$7:$FG$40</c:f>
              <c:numCache>
                <c:formatCode>0.00%</c:formatCode>
                <c:ptCount val="34"/>
                <c:pt idx="0">
                  <c:v>0</c:v>
                </c:pt>
                <c:pt idx="1">
                  <c:v>0</c:v>
                </c:pt>
                <c:pt idx="2">
                  <c:v>0</c:v>
                </c:pt>
                <c:pt idx="3">
                  <c:v>0</c:v>
                </c:pt>
                <c:pt idx="4" formatCode="0.0%">
                  <c:v>1.6788321167883202E-3</c:v>
                </c:pt>
                <c:pt idx="5" formatCode="0.0%">
                  <c:v>3.3576642335766405E-3</c:v>
                </c:pt>
                <c:pt idx="6" formatCode="0.0%">
                  <c:v>5.0364963503649607E-3</c:v>
                </c:pt>
                <c:pt idx="7" formatCode="0.0%">
                  <c:v>6.7153284671532809E-3</c:v>
                </c:pt>
                <c:pt idx="8" formatCode="0.0%">
                  <c:v>8.3941605839416011E-3</c:v>
                </c:pt>
                <c:pt idx="9" formatCode="0.0%">
                  <c:v>1.0072992700729921E-2</c:v>
                </c:pt>
                <c:pt idx="10" formatCode="0.0%">
                  <c:v>1.1751824817518242E-2</c:v>
                </c:pt>
                <c:pt idx="11" formatCode="0.0%">
                  <c:v>1.3430656934306562E-2</c:v>
                </c:pt>
                <c:pt idx="12" formatCode="0.0%">
                  <c:v>1.5109489051094882E-2</c:v>
                </c:pt>
                <c:pt idx="13" formatCode="0.0%">
                  <c:v>1.6788321167883202E-2</c:v>
                </c:pt>
                <c:pt idx="14" formatCode="0.0%">
                  <c:v>1.8467153284671523E-2</c:v>
                </c:pt>
                <c:pt idx="15" formatCode="0.0%">
                  <c:v>2.0145985401459843E-2</c:v>
                </c:pt>
                <c:pt idx="16" formatCode="0.0%">
                  <c:v>2.1824817518248163E-2</c:v>
                </c:pt>
                <c:pt idx="17" formatCode="0.0%">
                  <c:v>2.3503649635036483E-2</c:v>
                </c:pt>
                <c:pt idx="18" formatCode="0.0%">
                  <c:v>2.5182481751824803E-2</c:v>
                </c:pt>
                <c:pt idx="19" formatCode="0.0%">
                  <c:v>2.6861313868613124E-2</c:v>
                </c:pt>
                <c:pt idx="20" formatCode="0.0%">
                  <c:v>2.8540145985401444E-2</c:v>
                </c:pt>
                <c:pt idx="21" formatCode="0.0%">
                  <c:v>3.0218978102189764E-2</c:v>
                </c:pt>
                <c:pt idx="22" formatCode="0.0%">
                  <c:v>3.1897810218978084E-2</c:v>
                </c:pt>
                <c:pt idx="23" formatCode="0.0%">
                  <c:v>3.3576642335766405E-2</c:v>
                </c:pt>
                <c:pt idx="24" formatCode="0.0%">
                  <c:v>3.5255474452554725E-2</c:v>
                </c:pt>
                <c:pt idx="25" formatCode="0.0%">
                  <c:v>3.6934306569343045E-2</c:v>
                </c:pt>
                <c:pt idx="26" formatCode="0.0%">
                  <c:v>3.8613138686131365E-2</c:v>
                </c:pt>
                <c:pt idx="27" formatCode="0.0%">
                  <c:v>4.0291970802919685E-2</c:v>
                </c:pt>
                <c:pt idx="28" formatCode="0.0%">
                  <c:v>4.1970802919708006E-2</c:v>
                </c:pt>
                <c:pt idx="29" formatCode="0.0%">
                  <c:v>4.3649635036496326E-2</c:v>
                </c:pt>
                <c:pt idx="30" formatCode="0.0%">
                  <c:v>4.5328467153284646E-2</c:v>
                </c:pt>
                <c:pt idx="31" formatCode="0.0%">
                  <c:v>4.7007299270072966E-2</c:v>
                </c:pt>
                <c:pt idx="32" formatCode="0.0%">
                  <c:v>4.8686131386861287E-2</c:v>
                </c:pt>
                <c:pt idx="33" formatCode="0.0%">
                  <c:v>5.0364963503649607E-2</c:v>
                </c:pt>
              </c:numCache>
            </c:numRef>
          </c:val>
          <c:extLst>
            <c:ext xmlns:c16="http://schemas.microsoft.com/office/drawing/2014/chart" uri="{C3380CC4-5D6E-409C-BE32-E72D297353CC}">
              <c16:uniqueId val="{00000007-3119-4DD8-BDAA-21587AF2C9CD}"/>
            </c:ext>
          </c:extLst>
        </c:ser>
        <c:ser>
          <c:idx val="5"/>
          <c:order val="6"/>
          <c:tx>
            <c:strRef>
              <c:f>'Main calculations'!$FH$6</c:f>
              <c:strCache>
                <c:ptCount val="1"/>
                <c:pt idx="0">
                  <c:v>Localisation</c:v>
                </c:pt>
              </c:strCache>
            </c:strRef>
          </c:tx>
          <c:spPr>
            <a:solidFill>
              <a:schemeClr val="accent2"/>
            </a:solidFill>
            <a:ln>
              <a:solidFill>
                <a:schemeClr val="accent2"/>
              </a:solidFill>
            </a:ln>
            <a:effectLst/>
          </c:spPr>
          <c:dLbls>
            <c:dLbl>
              <c:idx val="0"/>
              <c:layout>
                <c:manualLayout>
                  <c:x val="0.22269831307838914"/>
                  <c:y val="1.428571658134599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calculations'!$FH$7:$FH$40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0</c:v>
                </c:pt>
                <c:pt idx="9" formatCode="0.0%">
                  <c:v>0</c:v>
                </c:pt>
                <c:pt idx="10" formatCode="0.0%">
                  <c:v>0</c:v>
                </c:pt>
                <c:pt idx="11" formatCode="0.0%">
                  <c:v>0</c:v>
                </c:pt>
                <c:pt idx="12" formatCode="0.0%">
                  <c:v>0</c:v>
                </c:pt>
                <c:pt idx="13" formatCode="0.0%">
                  <c:v>3.2142857142857251E-3</c:v>
                </c:pt>
                <c:pt idx="14" formatCode="0.0%">
                  <c:v>6.4285714285714501E-3</c:v>
                </c:pt>
                <c:pt idx="15" formatCode="0.0%">
                  <c:v>9.6428571428571752E-3</c:v>
                </c:pt>
                <c:pt idx="16" formatCode="0.0%">
                  <c:v>1.28571428571429E-2</c:v>
                </c:pt>
                <c:pt idx="17" formatCode="0.0%">
                  <c:v>1.6071428571428625E-2</c:v>
                </c:pt>
                <c:pt idx="18" formatCode="0.0%">
                  <c:v>1.9285714285714239E-2</c:v>
                </c:pt>
                <c:pt idx="19" formatCode="0.0%">
                  <c:v>2.2499999999999964E-2</c:v>
                </c:pt>
                <c:pt idx="20" formatCode="0.0%">
                  <c:v>2.571428571428569E-2</c:v>
                </c:pt>
                <c:pt idx="21" formatCode="0.0%">
                  <c:v>2.8928571428571415E-2</c:v>
                </c:pt>
                <c:pt idx="22" formatCode="0.0%">
                  <c:v>3.214285714285714E-2</c:v>
                </c:pt>
                <c:pt idx="23" formatCode="0.0%">
                  <c:v>3.5357142857142865E-2</c:v>
                </c:pt>
                <c:pt idx="24" formatCode="0.0%">
                  <c:v>3.857142857142859E-2</c:v>
                </c:pt>
                <c:pt idx="25" formatCode="0.0%">
                  <c:v>4.1785714285714315E-2</c:v>
                </c:pt>
                <c:pt idx="26" formatCode="0.0%">
                  <c:v>4.500000000000004E-2</c:v>
                </c:pt>
                <c:pt idx="27" formatCode="0.0%">
                  <c:v>4.8214285714285765E-2</c:v>
                </c:pt>
                <c:pt idx="28" formatCode="0.0%">
                  <c:v>5.1428571428571379E-2</c:v>
                </c:pt>
                <c:pt idx="29" formatCode="0.0%">
                  <c:v>5.4642857142857104E-2</c:v>
                </c:pt>
                <c:pt idx="30" formatCode="0.0%">
                  <c:v>5.7857142857142829E-2</c:v>
                </c:pt>
                <c:pt idx="31" formatCode="0.0%">
                  <c:v>6.1071428571428554E-2</c:v>
                </c:pt>
                <c:pt idx="32" formatCode="0.0%">
                  <c:v>6.4285714285714279E-2</c:v>
                </c:pt>
                <c:pt idx="33" formatCode="0.0%">
                  <c:v>6.7500000000000004E-2</c:v>
                </c:pt>
              </c:numCache>
            </c:numRef>
          </c:val>
          <c:extLst>
            <c:ext xmlns:c16="http://schemas.microsoft.com/office/drawing/2014/chart" uri="{C3380CC4-5D6E-409C-BE32-E72D297353CC}">
              <c16:uniqueId val="{00000005-3119-4DD8-BDAA-21587AF2C9CD}"/>
            </c:ext>
          </c:extLst>
        </c:ser>
        <c:ser>
          <c:idx val="9"/>
          <c:order val="7"/>
          <c:tx>
            <c:strRef>
              <c:f>'Main calculations'!$FI$6</c:f>
              <c:strCache>
                <c:ptCount val="1"/>
                <c:pt idx="0">
                  <c:v>Home delivery</c:v>
                </c:pt>
              </c:strCache>
            </c:strRef>
          </c:tx>
          <c:spPr>
            <a:solidFill>
              <a:schemeClr val="accent2">
                <a:lumMod val="60000"/>
                <a:lumOff val="40000"/>
              </a:schemeClr>
            </a:solidFill>
            <a:ln>
              <a:noFill/>
            </a:ln>
            <a:effectLst/>
          </c:spPr>
          <c:dLbls>
            <c:dLbl>
              <c:idx val="0"/>
              <c:layout>
                <c:manualLayout>
                  <c:x val="0.12699509088137542"/>
                  <c:y val="3.692431303229934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calculations'!$FI$7:$FI$40</c:f>
              <c:numCache>
                <c:formatCode>0.00%</c:formatCode>
                <c:ptCount val="34"/>
                <c:pt idx="0">
                  <c:v>0</c:v>
                </c:pt>
                <c:pt idx="1">
                  <c:v>0</c:v>
                </c:pt>
                <c:pt idx="2">
                  <c:v>0</c:v>
                </c:pt>
                <c:pt idx="3">
                  <c:v>0</c:v>
                </c:pt>
                <c:pt idx="4" formatCode="0.0%">
                  <c:v>0</c:v>
                </c:pt>
                <c:pt idx="5" formatCode="0.0%">
                  <c:v>0</c:v>
                </c:pt>
                <c:pt idx="6" formatCode="0.0%">
                  <c:v>0</c:v>
                </c:pt>
                <c:pt idx="7" formatCode="0.0%">
                  <c:v>0</c:v>
                </c:pt>
                <c:pt idx="8" formatCode="0.0%">
                  <c:v>8.6538461538465672E-4</c:v>
                </c:pt>
                <c:pt idx="9" formatCode="0.0%">
                  <c:v>1.7307692307692024E-3</c:v>
                </c:pt>
                <c:pt idx="10" formatCode="0.0%">
                  <c:v>2.5961538461538591E-3</c:v>
                </c:pt>
                <c:pt idx="11" formatCode="0.0%">
                  <c:v>3.4615384615385159E-3</c:v>
                </c:pt>
                <c:pt idx="12" formatCode="0.0%">
                  <c:v>4.3269230769230616E-3</c:v>
                </c:pt>
                <c:pt idx="13" formatCode="0.0%">
                  <c:v>5.1923076923077183E-3</c:v>
                </c:pt>
                <c:pt idx="14" formatCode="0.0%">
                  <c:v>6.057692307692264E-3</c:v>
                </c:pt>
                <c:pt idx="15" formatCode="0.0%">
                  <c:v>6.9230769230769207E-3</c:v>
                </c:pt>
                <c:pt idx="16" formatCode="0.0%">
                  <c:v>7.7884615384615774E-3</c:v>
                </c:pt>
                <c:pt idx="17" formatCode="0.0%">
                  <c:v>8.6538461538461231E-3</c:v>
                </c:pt>
                <c:pt idx="18" formatCode="0.0%">
                  <c:v>9.5192307692307798E-3</c:v>
                </c:pt>
                <c:pt idx="19" formatCode="0.0%">
                  <c:v>1.0384615384615437E-2</c:v>
                </c:pt>
                <c:pt idx="20" formatCode="0.0%">
                  <c:v>1.1249999999999982E-2</c:v>
                </c:pt>
                <c:pt idx="21" formatCode="0.0%">
                  <c:v>1.2115384615384639E-2</c:v>
                </c:pt>
                <c:pt idx="22" formatCode="0.0%">
                  <c:v>1.2980769230769185E-2</c:v>
                </c:pt>
                <c:pt idx="23" formatCode="0.0%">
                  <c:v>1.3846153846153841E-2</c:v>
                </c:pt>
                <c:pt idx="24" formatCode="0.0%">
                  <c:v>1.4711538461538498E-2</c:v>
                </c:pt>
                <c:pt idx="25" formatCode="0.0%">
                  <c:v>1.5576923076923044E-2</c:v>
                </c:pt>
                <c:pt idx="26" formatCode="0.0%">
                  <c:v>1.6442307692307701E-2</c:v>
                </c:pt>
                <c:pt idx="27" formatCode="0.0%">
                  <c:v>1.7307692307692357E-2</c:v>
                </c:pt>
                <c:pt idx="28" formatCode="0.0%">
                  <c:v>1.8173076923076903E-2</c:v>
                </c:pt>
                <c:pt idx="29" formatCode="0.0%">
                  <c:v>1.903846153846156E-2</c:v>
                </c:pt>
                <c:pt idx="30" formatCode="0.0%">
                  <c:v>1.9903846153846105E-2</c:v>
                </c:pt>
                <c:pt idx="31" formatCode="0.0%">
                  <c:v>2.0769230769230762E-2</c:v>
                </c:pt>
                <c:pt idx="32" formatCode="0.0%">
                  <c:v>2.1634615384615419E-2</c:v>
                </c:pt>
                <c:pt idx="33" formatCode="0.0%">
                  <c:v>2.2499999999999964E-2</c:v>
                </c:pt>
              </c:numCache>
            </c:numRef>
          </c:val>
          <c:extLst>
            <c:ext xmlns:c16="http://schemas.microsoft.com/office/drawing/2014/chart" uri="{C3380CC4-5D6E-409C-BE32-E72D297353CC}">
              <c16:uniqueId val="{0000000A-3119-4DD8-BDAA-21587AF2C9CD}"/>
            </c:ext>
          </c:extLst>
        </c:ser>
        <c:ser>
          <c:idx val="6"/>
          <c:order val="8"/>
          <c:tx>
            <c:strRef>
              <c:f>'Main calculations'!$FJ$6</c:f>
              <c:strCache>
                <c:ptCount val="1"/>
                <c:pt idx="0">
                  <c:v>Online / Teleservices</c:v>
                </c:pt>
              </c:strCache>
            </c:strRef>
          </c:tx>
          <c:spPr>
            <a:solidFill>
              <a:schemeClr val="accent2">
                <a:lumMod val="40000"/>
                <a:lumOff val="60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calculations'!$FJ$7:$FJ$40</c:f>
              <c:numCache>
                <c:formatCode>0.00%</c:formatCode>
                <c:ptCount val="34"/>
                <c:pt idx="0">
                  <c:v>0</c:v>
                </c:pt>
                <c:pt idx="1">
                  <c:v>0</c:v>
                </c:pt>
                <c:pt idx="2">
                  <c:v>0</c:v>
                </c:pt>
                <c:pt idx="3">
                  <c:v>0</c:v>
                </c:pt>
                <c:pt idx="4" formatCode="0.0%">
                  <c:v>0</c:v>
                </c:pt>
                <c:pt idx="5" formatCode="0.0%">
                  <c:v>0</c:v>
                </c:pt>
                <c:pt idx="6" formatCode="0.0%">
                  <c:v>2.4999999999997247E-4</c:v>
                </c:pt>
                <c:pt idx="7" formatCode="0.0%">
                  <c:v>4.9999999999994493E-4</c:v>
                </c:pt>
                <c:pt idx="8" formatCode="0.0%">
                  <c:v>7.5000000000002842E-4</c:v>
                </c:pt>
                <c:pt idx="9" formatCode="0.0%">
                  <c:v>1.0000000000000009E-3</c:v>
                </c:pt>
                <c:pt idx="10" formatCode="0.0%">
                  <c:v>1.2499999999999734E-3</c:v>
                </c:pt>
                <c:pt idx="11" formatCode="0.0%">
                  <c:v>1.4999999999999458E-3</c:v>
                </c:pt>
                <c:pt idx="12" formatCode="0.0%">
                  <c:v>1.7500000000000293E-3</c:v>
                </c:pt>
                <c:pt idx="13" formatCode="0.0%">
                  <c:v>2.0000000000000018E-3</c:v>
                </c:pt>
                <c:pt idx="14" formatCode="0.0%">
                  <c:v>2.2499999999999742E-3</c:v>
                </c:pt>
                <c:pt idx="15" formatCode="0.0%">
                  <c:v>2.4999999999999467E-3</c:v>
                </c:pt>
                <c:pt idx="16" formatCode="0.0%">
                  <c:v>2.7500000000000302E-3</c:v>
                </c:pt>
                <c:pt idx="17" formatCode="0.0%">
                  <c:v>3.0000000000000027E-3</c:v>
                </c:pt>
                <c:pt idx="18" formatCode="0.0%">
                  <c:v>3.2499999999999751E-3</c:v>
                </c:pt>
                <c:pt idx="19" formatCode="0.0%">
                  <c:v>3.4999999999999476E-3</c:v>
                </c:pt>
                <c:pt idx="20" formatCode="0.0%">
                  <c:v>3.7500000000000311E-3</c:v>
                </c:pt>
                <c:pt idx="21" formatCode="0.0%">
                  <c:v>4.0000000000000036E-3</c:v>
                </c:pt>
                <c:pt idx="22" formatCode="0.0%">
                  <c:v>4.249999999999976E-3</c:v>
                </c:pt>
                <c:pt idx="23" formatCode="0.0%">
                  <c:v>4.4999999999999485E-3</c:v>
                </c:pt>
                <c:pt idx="24" formatCode="0.0%">
                  <c:v>4.750000000000032E-3</c:v>
                </c:pt>
                <c:pt idx="25" formatCode="0.0%">
                  <c:v>5.0000000000000044E-3</c:v>
                </c:pt>
                <c:pt idx="26" formatCode="0.0%">
                  <c:v>5.2499999999999769E-3</c:v>
                </c:pt>
                <c:pt idx="27" formatCode="0.0%">
                  <c:v>5.4999999999999494E-3</c:v>
                </c:pt>
                <c:pt idx="28" formatCode="0.0%">
                  <c:v>5.7500000000000329E-3</c:v>
                </c:pt>
                <c:pt idx="29" formatCode="0.0%">
                  <c:v>6.0000000000000053E-3</c:v>
                </c:pt>
                <c:pt idx="30" formatCode="0.0%">
                  <c:v>6.2499999999999778E-3</c:v>
                </c:pt>
                <c:pt idx="31" formatCode="0.0%">
                  <c:v>6.4999999999999503E-3</c:v>
                </c:pt>
                <c:pt idx="32" formatCode="0.0%">
                  <c:v>6.7500000000000338E-3</c:v>
                </c:pt>
                <c:pt idx="33" formatCode="0.0%">
                  <c:v>7.0000000000000062E-3</c:v>
                </c:pt>
              </c:numCache>
            </c:numRef>
          </c:val>
          <c:extLst>
            <c:ext xmlns:c16="http://schemas.microsoft.com/office/drawing/2014/chart" uri="{C3380CC4-5D6E-409C-BE32-E72D297353CC}">
              <c16:uniqueId val="{00000006-3119-4DD8-BDAA-21587AF2C9CD}"/>
            </c:ext>
          </c:extLst>
        </c:ser>
        <c:ser>
          <c:idx val="3"/>
          <c:order val="9"/>
          <c:tx>
            <c:strRef>
              <c:f>'Main calculations'!$FK$6</c:f>
              <c:strCache>
                <c:ptCount val="1"/>
                <c:pt idx="0">
                  <c:v>Work from Home</c:v>
                </c:pt>
              </c:strCache>
            </c:strRef>
          </c:tx>
          <c:spPr>
            <a:solidFill>
              <a:schemeClr val="accent2">
                <a:lumMod val="20000"/>
                <a:lumOff val="80000"/>
              </a:schemeClr>
            </a:solidFill>
            <a:ln>
              <a:noFill/>
            </a:ln>
            <a:effectLst/>
          </c:spPr>
          <c:dLbls>
            <c:dLbl>
              <c:idx val="0"/>
              <c:layout>
                <c:manualLayout>
                  <c:x val="-7.3653578048460192E-2"/>
                  <c:y val="-3.7414539782807231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calculations'!$FK$7:$FK$40</c:f>
              <c:numCache>
                <c:formatCode>0.00%</c:formatCode>
                <c:ptCount val="34"/>
                <c:pt idx="0">
                  <c:v>0</c:v>
                </c:pt>
                <c:pt idx="1">
                  <c:v>0</c:v>
                </c:pt>
                <c:pt idx="2">
                  <c:v>0</c:v>
                </c:pt>
                <c:pt idx="3">
                  <c:v>0</c:v>
                </c:pt>
                <c:pt idx="4" formatCode="0.0%">
                  <c:v>9.5999999999996088E-4</c:v>
                </c:pt>
                <c:pt idx="5" formatCode="0.0%">
                  <c:v>1.9200000000000328E-3</c:v>
                </c:pt>
                <c:pt idx="6" formatCode="0.0%">
                  <c:v>2.8799999999999937E-3</c:v>
                </c:pt>
                <c:pt idx="7" formatCode="0.0%">
                  <c:v>3.8399999999999546E-3</c:v>
                </c:pt>
                <c:pt idx="8" formatCode="0.0%">
                  <c:v>4.8000000000000265E-3</c:v>
                </c:pt>
                <c:pt idx="9" formatCode="0.0%">
                  <c:v>5.7599999999999874E-3</c:v>
                </c:pt>
                <c:pt idx="10" formatCode="0.0%">
                  <c:v>6.7199999999999482E-3</c:v>
                </c:pt>
                <c:pt idx="11" formatCode="0.0%">
                  <c:v>7.6800000000000201E-3</c:v>
                </c:pt>
                <c:pt idx="12" formatCode="0.0%">
                  <c:v>8.639999999999981E-3</c:v>
                </c:pt>
                <c:pt idx="13" formatCode="0.0%">
                  <c:v>9.6000000000000529E-3</c:v>
                </c:pt>
                <c:pt idx="14" formatCode="0.0%">
                  <c:v>1.0560000000000014E-2</c:v>
                </c:pt>
                <c:pt idx="15" formatCode="0.0%">
                  <c:v>1.1519999999999975E-2</c:v>
                </c:pt>
                <c:pt idx="16" formatCode="0.0%">
                  <c:v>1.2480000000000047E-2</c:v>
                </c:pt>
                <c:pt idx="17" formatCode="0.0%">
                  <c:v>1.3440000000000007E-2</c:v>
                </c:pt>
                <c:pt idx="18" formatCode="0.0%">
                  <c:v>1.4399999999999968E-2</c:v>
                </c:pt>
                <c:pt idx="19" formatCode="0.0%">
                  <c:v>1.536000000000004E-2</c:v>
                </c:pt>
                <c:pt idx="20" formatCode="0.0%">
                  <c:v>1.6320000000000001E-2</c:v>
                </c:pt>
                <c:pt idx="21" formatCode="0.0%">
                  <c:v>1.7279999999999962E-2</c:v>
                </c:pt>
                <c:pt idx="22" formatCode="0.0%">
                  <c:v>1.8240000000000034E-2</c:v>
                </c:pt>
                <c:pt idx="23" formatCode="0.0%">
                  <c:v>1.9199999999999995E-2</c:v>
                </c:pt>
                <c:pt idx="24" formatCode="0.0%">
                  <c:v>2.0159999999999956E-2</c:v>
                </c:pt>
                <c:pt idx="25" formatCode="0.0%">
                  <c:v>2.1120000000000028E-2</c:v>
                </c:pt>
                <c:pt idx="26" formatCode="0.0%">
                  <c:v>2.2079999999999989E-2</c:v>
                </c:pt>
                <c:pt idx="27" formatCode="0.0%">
                  <c:v>2.3039999999999949E-2</c:v>
                </c:pt>
                <c:pt idx="28" formatCode="0.0%">
                  <c:v>2.4000000000000021E-2</c:v>
                </c:pt>
                <c:pt idx="29" formatCode="0.0%">
                  <c:v>2.4959999999999982E-2</c:v>
                </c:pt>
                <c:pt idx="30" formatCode="0.0%">
                  <c:v>2.5919999999999943E-2</c:v>
                </c:pt>
                <c:pt idx="31" formatCode="0.0%">
                  <c:v>2.6880000000000015E-2</c:v>
                </c:pt>
                <c:pt idx="32" formatCode="0.0%">
                  <c:v>2.7839999999999976E-2</c:v>
                </c:pt>
                <c:pt idx="33" formatCode="0.0%">
                  <c:v>2.8799999999999937E-2</c:v>
                </c:pt>
              </c:numCache>
            </c:numRef>
          </c:val>
          <c:extLst>
            <c:ext xmlns:c16="http://schemas.microsoft.com/office/drawing/2014/chart" uri="{C3380CC4-5D6E-409C-BE32-E72D297353CC}">
              <c16:uniqueId val="{0000001E-3119-4DD8-BDAA-21587AF2C9CD}"/>
            </c:ext>
          </c:extLst>
        </c:ser>
        <c:dLbls>
          <c:showLegendKey val="0"/>
          <c:showVal val="0"/>
          <c:showCatName val="0"/>
          <c:showSerName val="0"/>
          <c:showPercent val="0"/>
          <c:showBubbleSize val="0"/>
        </c:dLbls>
        <c:axId val="1161073112"/>
        <c:axId val="1161076392"/>
        <c:extLst>
          <c:ext xmlns:c15="http://schemas.microsoft.com/office/drawing/2012/chart" uri="{02D57815-91ED-43cb-92C2-25804820EDAC}">
            <c15:filteredAreaSeries>
              <c15:ser>
                <c:idx val="2"/>
                <c:order val="10"/>
                <c:tx>
                  <c:strRef>
                    <c:extLst>
                      <c:ext uri="{02D57815-91ED-43cb-92C2-25804820EDAC}">
                        <c15:formulaRef>
                          <c15:sqref>'Main calculations'!$FB$6</c15:sqref>
                        </c15:formulaRef>
                      </c:ext>
                    </c:extLst>
                    <c:strCache>
                      <c:ptCount val="1"/>
                      <c:pt idx="0">
                        <c:v>1990-2020 change</c:v>
                      </c:pt>
                    </c:strCache>
                  </c:strRef>
                </c:tx>
                <c:spPr>
                  <a:solidFill>
                    <a:schemeClr val="accent4">
                      <a:lumMod val="60000"/>
                      <a:lumOff val="40000"/>
                    </a:schemeClr>
                  </a:solidFill>
                  <a:ln w="25400">
                    <a:noFill/>
                  </a:ln>
                  <a:effectLst/>
                </c:spPr>
                <c:dLbls>
                  <c:dLbl>
                    <c:idx val="0"/>
                    <c:layout>
                      <c:manualLayout>
                        <c:x val="0.18471126080683445"/>
                        <c:y val="2.0408166544779722E-3"/>
                      </c:manualLayout>
                    </c:layout>
                    <c:showLegendKey val="0"/>
                    <c:showVal val="0"/>
                    <c:showCatName val="0"/>
                    <c:showSerName val="1"/>
                    <c:showPercent val="0"/>
                    <c:showBubbleSize val="0"/>
                    <c:extLst>
                      <c:ext uri="{CE6537A1-D6FC-4f65-9D91-7224C49458BB}"/>
                      <c:ext xmlns:c16="http://schemas.microsoft.com/office/drawing/2014/chart" uri="{C3380CC4-5D6E-409C-BE32-E72D297353CC}">
                        <c16:uniqueId val="{00000019-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uri="{CE6537A1-D6FC-4f65-9D91-7224C49458BB}">
                      <c15:showLeaderLines val="0"/>
                    </c:ext>
                  </c:extLst>
                </c:dLbls>
                <c:cat>
                  <c:numRef>
                    <c:extLst>
                      <c:ext uri="{02D57815-91ED-43cb-92C2-25804820EDAC}">
                        <c15:formulaRef>
                          <c15:sqref>'Main calculations'!$EX$7:$EX$40</c15:sqref>
                        </c15:formulaRef>
                      </c:ext>
                    </c:extLst>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extLst>
                      <c:ext uri="{02D57815-91ED-43cb-92C2-25804820EDAC}">
                        <c15:formulaRef>
                          <c15:sqref>'Main calculations'!$FB$7:$FB$40</c15:sqref>
                        </c15:formulaRef>
                      </c:ext>
                    </c:extLst>
                    <c:numCache>
                      <c:formatCode>0.00%</c:formatCode>
                      <c:ptCount val="34"/>
                      <c:pt idx="0">
                        <c:v>0</c:v>
                      </c:pt>
                      <c:pt idx="1">
                        <c:v>0</c:v>
                      </c:pt>
                      <c:pt idx="2">
                        <c:v>0</c:v>
                      </c:pt>
                      <c:pt idx="3">
                        <c:v>0</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numCache>
                  </c:numRef>
                </c:val>
                <c:extLst>
                  <c:ext xmlns:c16="http://schemas.microsoft.com/office/drawing/2014/chart" uri="{C3380CC4-5D6E-409C-BE32-E72D297353CC}">
                    <c16:uniqueId val="{00000002-3119-4DD8-BDAA-21587AF2C9CD}"/>
                  </c:ext>
                </c:extLst>
              </c15:ser>
            </c15:filteredAreaSeries>
          </c:ext>
        </c:extLst>
      </c:areaChart>
      <c:barChart>
        <c:barDir val="col"/>
        <c:grouping val="clustered"/>
        <c:varyColors val="0"/>
        <c:ser>
          <c:idx val="10"/>
          <c:order val="11"/>
          <c:tx>
            <c:strRef>
              <c:f>'Main calculations'!$EZ$6</c:f>
              <c:strCache>
                <c:ptCount val="1"/>
                <c:pt idx="0">
                  <c:v>1990-2020 emissions</c:v>
                </c:pt>
              </c:strCache>
            </c:strRef>
          </c:tx>
          <c:spPr>
            <a:solidFill>
              <a:schemeClr val="accent2">
                <a:lumMod val="20000"/>
                <a:lumOff val="80000"/>
              </a:schemeClr>
            </a:solidFill>
            <a:ln w="25400">
              <a:noFill/>
            </a:ln>
            <a:effectLst/>
          </c:spPr>
          <c:invertIfNegative val="0"/>
          <c:dPt>
            <c:idx val="3"/>
            <c:invertIfNegative val="0"/>
            <c:bubble3D val="0"/>
            <c:spPr>
              <a:solidFill>
                <a:schemeClr val="bg2">
                  <a:lumMod val="50000"/>
                </a:schemeClr>
              </a:solidFill>
              <a:ln w="25400">
                <a:noFill/>
              </a:ln>
              <a:effectLst/>
            </c:spPr>
            <c:extLst>
              <c:ext xmlns:c16="http://schemas.microsoft.com/office/drawing/2014/chart" uri="{C3380CC4-5D6E-409C-BE32-E72D297353CC}">
                <c16:uniqueId val="{0000001F-3119-4DD8-BDAA-21587AF2C9CD}"/>
              </c:ext>
            </c:extLst>
          </c:dPt>
          <c:dLbls>
            <c:dLbl>
              <c:idx val="3"/>
              <c:layout>
                <c:manualLayout>
                  <c:x val="-4.3207957428504265E-2"/>
                  <c:y val="0.31040735222083488"/>
                </c:manualLayout>
              </c:layout>
              <c:spPr>
                <a:noFill/>
                <a:ln>
                  <a:noFill/>
                </a:ln>
                <a:effectLst/>
              </c:spPr>
              <c:txPr>
                <a:bodyPr rot="-5400000" spcFirstLastPara="1" vertOverflow="ellipsis"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1"/>
              <c:showPercent val="0"/>
              <c:showBubbleSize val="0"/>
              <c:extLst>
                <c:ext xmlns:c15="http://schemas.microsoft.com/office/drawing/2012/chart" uri="{CE6537A1-D6FC-4f65-9D91-7224C49458BB}">
                  <c15:layout>
                    <c:manualLayout>
                      <c:w val="0.21048422523695384"/>
                      <c:h val="2.9978359468899769E-2"/>
                    </c:manualLayout>
                  </c15:layout>
                </c:ext>
                <c:ext xmlns:c16="http://schemas.microsoft.com/office/drawing/2014/chart" uri="{C3380CC4-5D6E-409C-BE32-E72D297353CC}">
                  <c16:uniqueId val="{0000001F-3119-4DD8-BDAA-21587AF2C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calculations'!$EZ$7:$EZ$40</c:f>
              <c:numCache>
                <c:formatCode>0.00%</c:formatCode>
                <c:ptCount val="34"/>
                <c:pt idx="3">
                  <c:v>0.95</c:v>
                </c:pt>
              </c:numCache>
            </c:numRef>
          </c:val>
          <c:extLst>
            <c:ext xmlns:c16="http://schemas.microsoft.com/office/drawing/2014/chart" uri="{C3380CC4-5D6E-409C-BE32-E72D297353CC}">
              <c16:uniqueId val="{0000000B-3119-4DD8-BDAA-21587AF2C9CD}"/>
            </c:ext>
          </c:extLst>
        </c:ser>
        <c:dLbls>
          <c:showLegendKey val="0"/>
          <c:showVal val="0"/>
          <c:showCatName val="0"/>
          <c:showSerName val="0"/>
          <c:showPercent val="0"/>
          <c:showBubbleSize val="0"/>
        </c:dLbls>
        <c:gapWidth val="500"/>
        <c:axId val="1161073112"/>
        <c:axId val="1161076392"/>
      </c:barChart>
      <c:lineChart>
        <c:grouping val="standard"/>
        <c:varyColors val="0"/>
        <c:ser>
          <c:idx val="8"/>
          <c:order val="12"/>
          <c:tx>
            <c:strRef>
              <c:f>'Main calculations'!$EY$6</c:f>
              <c:strCache>
                <c:ptCount val="1"/>
                <c:pt idx="0">
                  <c:v>Start </c:v>
                </c:pt>
              </c:strCache>
            </c:strRef>
          </c:tx>
          <c:spPr>
            <a:ln w="41275" cap="rnd">
              <a:solidFill>
                <a:schemeClr val="accent3">
                  <a:lumMod val="60000"/>
                </a:schemeClr>
              </a:solidFill>
              <a:round/>
            </a:ln>
            <a:effectLst/>
          </c:spPr>
          <c:marker>
            <c:symbol val="none"/>
          </c:marker>
          <c:cat>
            <c:numRef>
              <c:f>'Main calculations'!$EX$7:$EX$40</c:f>
              <c:numCache>
                <c:formatCode>General</c:formatCode>
                <c:ptCount val="34"/>
                <c:pt idx="0">
                  <c:v>1990</c:v>
                </c:pt>
                <c:pt idx="1">
                  <c:v>2000</c:v>
                </c:pt>
                <c:pt idx="2">
                  <c:v>2010</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'Main calculations'!$EY$7:$EY$40</c:f>
              <c:numCache>
                <c:formatCode>0.00%</c:formatCode>
                <c:ptCount val="34"/>
                <c:pt idx="0" formatCode="0%">
                  <c:v>1</c:v>
                </c:pt>
                <c:pt idx="1">
                  <c:v>0.98333333333333328</c:v>
                </c:pt>
                <c:pt idx="2">
                  <c:v>0.96666666666666656</c:v>
                </c:pt>
                <c:pt idx="3">
                  <c:v>0.95</c:v>
                </c:pt>
                <c:pt idx="4">
                  <c:v>0.95333333333333325</c:v>
                </c:pt>
                <c:pt idx="5">
                  <c:v>0.95666666666666667</c:v>
                </c:pt>
                <c:pt idx="6">
                  <c:v>0.96</c:v>
                </c:pt>
                <c:pt idx="7">
                  <c:v>0.96333333333333326</c:v>
                </c:pt>
                <c:pt idx="8">
                  <c:v>0.96666666666666667</c:v>
                </c:pt>
                <c:pt idx="9">
                  <c:v>0.97</c:v>
                </c:pt>
                <c:pt idx="10">
                  <c:v>0.97333333333333327</c:v>
                </c:pt>
                <c:pt idx="11">
                  <c:v>0.97666666666666657</c:v>
                </c:pt>
                <c:pt idx="12">
                  <c:v>0.98</c:v>
                </c:pt>
                <c:pt idx="13">
                  <c:v>0.98333333333333328</c:v>
                </c:pt>
                <c:pt idx="14">
                  <c:v>0.98666666666666658</c:v>
                </c:pt>
                <c:pt idx="15">
                  <c:v>0.99</c:v>
                </c:pt>
                <c:pt idx="16">
                  <c:v>0.99333333333333329</c:v>
                </c:pt>
                <c:pt idx="17">
                  <c:v>0.99666666666666659</c:v>
                </c:pt>
                <c:pt idx="18">
                  <c:v>1</c:v>
                </c:pt>
                <c:pt idx="19">
                  <c:v>1.0033333333333332</c:v>
                </c:pt>
                <c:pt idx="20">
                  <c:v>1.0066666666666666</c:v>
                </c:pt>
                <c:pt idx="21">
                  <c:v>1.01</c:v>
                </c:pt>
                <c:pt idx="22">
                  <c:v>1.0133333333333332</c:v>
                </c:pt>
                <c:pt idx="23">
                  <c:v>1.0166666666666666</c:v>
                </c:pt>
                <c:pt idx="24">
                  <c:v>1.02</c:v>
                </c:pt>
                <c:pt idx="25">
                  <c:v>1.0233333333333332</c:v>
                </c:pt>
                <c:pt idx="26">
                  <c:v>1.0266666666666666</c:v>
                </c:pt>
                <c:pt idx="27">
                  <c:v>1.03</c:v>
                </c:pt>
                <c:pt idx="28">
                  <c:v>1.0333333333333332</c:v>
                </c:pt>
                <c:pt idx="29">
                  <c:v>1.0366666666666666</c:v>
                </c:pt>
                <c:pt idx="30">
                  <c:v>1.04</c:v>
                </c:pt>
                <c:pt idx="31">
                  <c:v>1.0433333333333332</c:v>
                </c:pt>
                <c:pt idx="32">
                  <c:v>1.0466666666666666</c:v>
                </c:pt>
                <c:pt idx="33">
                  <c:v>1.05</c:v>
                </c:pt>
              </c:numCache>
            </c:numRef>
          </c:val>
          <c:smooth val="0"/>
          <c:extLst>
            <c:ext xmlns:c16="http://schemas.microsoft.com/office/drawing/2014/chart" uri="{C3380CC4-5D6E-409C-BE32-E72D297353CC}">
              <c16:uniqueId val="{00000008-3119-4DD8-BDAA-21587AF2C9CD}"/>
            </c:ext>
          </c:extLst>
        </c:ser>
        <c:dLbls>
          <c:showLegendKey val="0"/>
          <c:showVal val="0"/>
          <c:showCatName val="0"/>
          <c:showSerName val="0"/>
          <c:showPercent val="0"/>
          <c:showBubbleSize val="0"/>
        </c:dLbls>
        <c:marker val="1"/>
        <c:smooth val="0"/>
        <c:axId val="1161073112"/>
        <c:axId val="1161076392"/>
      </c:lineChart>
      <c:catAx>
        <c:axId val="1161073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6392"/>
        <c:crosses val="autoZero"/>
        <c:auto val="1"/>
        <c:lblAlgn val="ctr"/>
        <c:lblOffset val="100"/>
        <c:noMultiLvlLbl val="0"/>
      </c:catAx>
      <c:valAx>
        <c:axId val="116107639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1073112"/>
        <c:crosses val="autoZero"/>
        <c:crossBetween val="between"/>
        <c:majorUnit val="0.1"/>
        <c:minorUnit val="0.1"/>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_xlchart.v1.1</cx:f>
      </cx:strDim>
      <cx:numDim type="val">
        <cx:f dir="row">_xlchart.v1.0</cx:f>
      </cx:numDim>
    </cx:data>
    <cx:data id="1"/>
  </cx:chartData>
  <cx:chart>
    <cx:title pos="t" align="ctr" overlay="0">
      <cx:tx>
        <cx:txData>
          <cx:v>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Carbon reduction compared to 1990 levels</a:t>
          </a:r>
        </a:p>
      </cx:txPr>
    </cx:title>
    <cx:plotArea>
      <cx:plotAreaRegion>
        <cx:plotSurface>
          <cx:spPr>
            <a:ln>
              <a:solidFill>
                <a:schemeClr val="accent1">
                  <a:alpha val="8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5B9BD5">
                  <a:lumMod val="40000"/>
                  <a:lumOff val="60000"/>
                </a:srgbClr>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 dir="row">_xlchart.v1.2</cx:f>
      </cx:strDim>
      <cx:numDim type="val">
        <cx:f dir="row">_xlchart.v1.3</cx:f>
      </cx:numDim>
    </cx:data>
    <cx:data id="1"/>
  </cx:chartData>
  <cx:chart>
    <cx:title pos="t" align="ctr" overlay="0">
      <cx:tx>
        <cx:txData>
          <cx:v>2030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2030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 dir="row">_xlchart.v1.4</cx:f>
      </cx:strDim>
      <cx:numDim type="val">
        <cx:f dir="row">_xlchart.v1.5</cx:f>
      </cx:numDim>
    </cx:data>
    <cx:data id="1"/>
  </cx:chartData>
  <cx:chart>
    <cx:title pos="t" align="ctr" overlay="0">
      <cx:tx>
        <cx:txData>
          <cx:v>2050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2050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 dir="row">_xlchart.v1.8</cx:f>
      </cx:strDim>
      <cx:numDim type="val">
        <cx:f dir="row">_xlchart.v1.9</cx:f>
      </cx:numDim>
    </cx:data>
    <cx:data id="1"/>
  </cx:chartData>
  <cx:chart>
    <cx:title pos="t" align="ctr" overlay="0">
      <cx:tx>
        <cx:txData>
          <cx:v>2030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2030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 dir="row">_xlchart.v1.6</cx:f>
      </cx:strDim>
      <cx:numDim type="val">
        <cx:f dir="row">_xlchart.v1.7</cx:f>
      </cx:numDim>
    </cx:data>
    <cx:data id="1"/>
  </cx:chartData>
  <cx:chart>
    <cx:title pos="t" align="ctr" overlay="0">
      <cx:tx>
        <cx:txData>
          <cx:v>2050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2050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 dir="row">_xlchart.v1.12</cx:f>
      </cx:strDim>
      <cx:numDim type="val">
        <cx:f dir="row">_xlchart.v1.13</cx:f>
      </cx:numDim>
    </cx:data>
    <cx:data id="1"/>
  </cx:chartData>
  <cx:chart>
    <cx:title pos="t" align="ctr" overlay="0">
      <cx:tx>
        <cx:txData>
          <cx:v>2030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2030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 dir="row">_xlchart.v1.10</cx:f>
      </cx:strDim>
      <cx:numDim type="val">
        <cx:f dir="row">_xlchart.v1.11</cx:f>
      </cx:numDim>
    </cx:data>
    <cx:data id="1"/>
  </cx:chartData>
  <cx:chart>
    <cx:title pos="t" align="ctr" overlay="0">
      <cx:tx>
        <cx:txData>
          <cx:v>2050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2050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 dir="row">_xlchart.v1.14</cx:f>
      </cx:strDim>
      <cx:numDim type="val">
        <cx:f dir="row">_xlchart.v1.15</cx:f>
      </cx:numDim>
    </cx:data>
    <cx:data id="1"/>
  </cx:chartData>
  <cx:chart>
    <cx:title pos="t" align="ctr" overlay="0">
      <cx:tx>
        <cx:txData>
          <cx:v>2030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2030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 dir="row">_xlchart.v1.16</cx:f>
      </cx:strDim>
      <cx:numDim type="val">
        <cx:f dir="row">_xlchart.v1.17</cx:f>
      </cx:numDim>
    </cx:data>
    <cx:data id="1"/>
  </cx:chartData>
  <cx:chart>
    <cx:title pos="t" align="ctr" overlay="0">
      <cx:tx>
        <cx:txData>
          <cx:v>2050 Carbon reduction compared to 1990 levels</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2050 Carbon reduction compared to 1990 levels</a:t>
          </a:r>
        </a:p>
      </cx:txPr>
    </cx:title>
    <cx:plotArea>
      <cx:plotAreaRegion>
        <cx:plotSurface>
          <cx:spPr>
            <a:ln>
              <a:solidFill>
                <a:schemeClr val="accent1">
                  <a:alpha val="79000"/>
                </a:schemeClr>
              </a:solidFill>
            </a:ln>
          </cx:spPr>
        </cx:plotSurface>
        <cx:series layoutId="waterfall" uniqueId="{C6DBB957-BFEF-44F6-BE76-7197D980C9D6}" formatIdx="0">
          <cx:spPr>
            <a:ln>
              <a:noFill/>
            </a:ln>
          </cx:spPr>
          <cx:dataPt idx="0">
            <cx:spPr>
              <a:noFill/>
            </cx:spPr>
          </cx:dataPt>
          <cx:dataPt idx="1">
            <cx:spPr>
              <a:solidFill>
                <a:srgbClr val="4472C4"/>
              </a:solidFill>
            </cx:spPr>
          </cx:dataPt>
          <cx:dataPt idx="2">
            <cx:spPr>
              <a:solidFill>
                <a:srgbClr val="FF66FF"/>
              </a:solidFill>
            </cx:spPr>
          </cx:dataPt>
          <cx:dataPt idx="9">
            <cx:spPr>
              <a:solidFill>
                <a:srgbClr val="92D050"/>
              </a:solidFill>
            </cx:spPr>
          </cx:dataPt>
          <cx:dataPt idx="10">
            <cx:spPr>
              <a:solidFill>
                <a:srgbClr val="92D050"/>
              </a:solidFill>
            </cx:spPr>
          </cx:dataPt>
          <cx:dataPt idx="11">
            <cx:spPr>
              <a:solidFill>
                <a:srgbClr val="92D050"/>
              </a:solidFill>
            </cx:spPr>
          </cx:dataPt>
          <cx:dataPt idx="12">
            <cx:spPr>
              <a:solidFill>
                <a:srgbClr val="92D050"/>
              </a:solidFill>
            </cx:spPr>
          </cx:dataPt>
          <cx:dataPt idx="13">
            <cx:spPr>
              <a:solidFill>
                <a:srgbClr val="FFC000"/>
              </a:solidFill>
            </cx:spPr>
          </cx:dataPt>
          <cx:dataPt idx="14">
            <cx:spPr>
              <a:solidFill>
                <a:srgbClr val="FFC000"/>
              </a:solidFill>
            </cx:spPr>
          </cx:dataPt>
          <cx:dataPt idx="15">
            <cx:spPr>
              <a:solidFill>
                <a:srgbClr val="FFC000">
                  <a:lumMod val="40000"/>
                  <a:lumOff val="60000"/>
                </a:srgbClr>
              </a:solidFill>
            </cx:spPr>
          </cx:dataPt>
          <cx:dataPt idx="16">
            <cx:spPr>
              <a:solidFill>
                <a:srgbClr val="FFC000">
                  <a:lumMod val="40000"/>
                  <a:lumOff val="60000"/>
                </a:srgbClr>
              </a:solidFill>
            </cx:spPr>
          </cx:dataPt>
          <cx:dataPt idx="17">
            <cx:spPr>
              <a:solidFill>
                <a:srgbClr val="FFC000"/>
              </a:solidFill>
            </cx:spPr>
          </cx:dataPt>
          <cx:dataPt idx="18">
            <cx:spPr>
              <a:solidFill>
                <a:srgbClr val="FFC000">
                  <a:lumMod val="40000"/>
                  <a:lumOff val="60000"/>
                </a:srgbClr>
              </a:solidFill>
            </cx:spPr>
          </cx:dataPt>
          <cx:dataPt idx="19">
            <cx:spPr>
              <a:solidFill>
                <a:srgbClr val="FFC000"/>
              </a:solidFill>
            </cx:spPr>
          </cx:dataPt>
          <cx:dataPt idx="20">
            <cx:spPr>
              <a:solidFill>
                <a:srgbClr val="FFC000">
                  <a:lumMod val="40000"/>
                  <a:lumOff val="60000"/>
                </a:srgbClr>
              </a:solidFill>
            </cx:spPr>
          </cx:dataPt>
          <cx:dataPt idx="21">
            <cx:spPr>
              <a:solidFill>
                <a:srgbClr val="FFC000"/>
              </a:solidFill>
            </cx:spPr>
          </cx:dataPt>
          <cx:dataPt idx="22">
            <cx:spPr>
              <a:solidFill>
                <a:srgbClr val="FFC000">
                  <a:lumMod val="40000"/>
                  <a:lumOff val="60000"/>
                </a:srgbClr>
              </a:solidFill>
            </cx:spPr>
          </cx:dataPt>
          <cx:dataPt idx="23">
            <cx:spPr>
              <a:solidFill>
                <a:srgbClr val="FFC000"/>
              </a:solidFill>
            </cx:spPr>
          </cx:dataPt>
          <cx:dataPt idx="24">
            <cx:spPr>
              <a:solidFill>
                <a:srgbClr val="FFC000">
                  <a:lumMod val="40000"/>
                  <a:lumOff val="60000"/>
                </a:srgbClr>
              </a:solidFill>
            </cx:spPr>
          </cx:dataPt>
          <cx:dataPt idx="25">
            <cx:spPr>
              <a:solidFill>
                <a:srgbClr val="FFC000"/>
              </a:solidFill>
            </cx:spPr>
          </cx:dataPt>
          <cx:dataPt idx="26">
            <cx:spPr>
              <a:solidFill>
                <a:srgbClr val="FFC000">
                  <a:lumMod val="40000"/>
                  <a:lumOff val="60000"/>
                </a:srgbClr>
              </a:solidFill>
            </cx:spPr>
          </cx:dataPt>
          <cx:dataPt idx="27">
            <cx:spPr>
              <a:solidFill>
                <a:srgbClr val="FFC000"/>
              </a:solidFill>
            </cx:spPr>
          </cx:dataPt>
          <cx:dataPt idx="28">
            <cx:spPr>
              <a:solidFill>
                <a:srgbClr val="FFC000"/>
              </a:solidFill>
            </cx:spPr>
          </cx:dataPt>
          <cx:dataLabels pos="outEnd">
            <cx:visibility seriesName="0" categoryName="0" value="1"/>
            <cx:separator>, </cx:separator>
            <cx:dataLabel idx="0" pos="outEnd">
              <cx:visibility seriesName="0" categoryName="0" value="0"/>
              <cx:separator>, </cx:separator>
            </cx:dataLabel>
          </cx:dataLabels>
          <cx:dataId val="0"/>
          <cx:layoutPr>
            <cx:visibility connectorLines="0"/>
            <cx:subtotals/>
          </cx:layoutPr>
        </cx:series>
        <cx:series layoutId="waterfall" hidden="1" uniqueId="{00000001-0137-43B2-81BB-A15A49EE4DBB}" formatIdx="1">
          <cx:dataId val="1"/>
          <cx:layoutPr/>
        </cx:series>
      </cx:plotAreaRegion>
      <cx:axis id="0">
        <cx:catScaling gapWidth="0.5"/>
        <cx:majorTickMarks type="cross"/>
        <cx:tickLabels/>
      </cx:axis>
      <cx:axis id="1">
        <cx:valScaling max="1.2"/>
        <cx:majorGridlines/>
        <cx:tickLabels/>
        <cx:txPr>
          <a:bodyPr spcFirstLastPara="1" vertOverflow="ellipsis" horzOverflow="overflow" wrap="square" lIns="0" tIns="0" rIns="0" bIns="0" anchor="ctr" anchorCtr="1"/>
          <a:lstStyle/>
          <a:p>
            <a:pPr algn="ctr" rtl="0">
              <a:defRPr>
                <a:ln>
                  <a:noFill/>
                </a:ln>
              </a:defRPr>
            </a:pPr>
            <a:endParaRPr lang="en-US" sz="900" b="0" i="0" u="none" strike="noStrike" baseline="0">
              <a:ln>
                <a:noFill/>
              </a:ln>
              <a:solidFill>
                <a:sysClr val="windowText" lastClr="000000">
                  <a:lumMod val="65000"/>
                  <a:lumOff val="35000"/>
                </a:sysClr>
              </a:solidFill>
              <a:latin typeface="Calibri" panose="020F0502020204030204"/>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trlProps/ctrlProp1.xml><?xml version="1.0" encoding="utf-8"?>
<formControlPr xmlns="http://schemas.microsoft.com/office/spreadsheetml/2009/9/main" objectType="Drop" dropStyle="combo" dx="31" fmlaLink="'Main calculations'!$AL$13" fmlaRange="'Main calculations'!$AJ$13:$AJ$14" noThreeD="1" sel="2" val="0"/>
</file>

<file path=xl/ctrlProps/ctrlProp10.xml><?xml version="1.0" encoding="utf-8"?>
<formControlPr xmlns="http://schemas.microsoft.com/office/spreadsheetml/2009/9/main" objectType="CheckBox" checked="Checked" fmlaLink="'4 Impacts On Other Objectives'!$AF$12" noThreeD="1"/>
</file>

<file path=xl/ctrlProps/ctrlProp11.xml><?xml version="1.0" encoding="utf-8"?>
<formControlPr xmlns="http://schemas.microsoft.com/office/spreadsheetml/2009/9/main" objectType="CheckBox" checked="Checked" fmlaLink="'4 Impacts On Other Objectives'!$AF$13" noThreeD="1"/>
</file>

<file path=xl/ctrlProps/ctrlProp12.xml><?xml version="1.0" encoding="utf-8"?>
<formControlPr xmlns="http://schemas.microsoft.com/office/spreadsheetml/2009/9/main" objectType="CheckBox" checked="Checked" fmlaLink="'4 Impacts On Other Objectives'!$AF$14" noThreeD="1"/>
</file>

<file path=xl/ctrlProps/ctrlProp13.xml><?xml version="1.0" encoding="utf-8"?>
<formControlPr xmlns="http://schemas.microsoft.com/office/spreadsheetml/2009/9/main" objectType="CheckBox" checked="Checked" fmlaLink="'4 Impacts On Other Objectives'!$AF$15" noThreeD="1"/>
</file>

<file path=xl/ctrlProps/ctrlProp14.xml><?xml version="1.0" encoding="utf-8"?>
<formControlPr xmlns="http://schemas.microsoft.com/office/spreadsheetml/2009/9/main" objectType="CheckBox" checked="Checked" fmlaLink="'4 Impacts On Other Objectives'!$AF$16" noThreeD="1"/>
</file>

<file path=xl/ctrlProps/ctrlProp15.xml><?xml version="1.0" encoding="utf-8"?>
<formControlPr xmlns="http://schemas.microsoft.com/office/spreadsheetml/2009/9/main" objectType="CheckBox" checked="Checked" fmlaLink="'4 Impacts On Other Objectives'!$AF$17" noThreeD="1"/>
</file>

<file path=xl/ctrlProps/ctrlProp16.xml><?xml version="1.0" encoding="utf-8"?>
<formControlPr xmlns="http://schemas.microsoft.com/office/spreadsheetml/2009/9/main" objectType="CheckBox" checked="Checked" fmlaLink="'4 Impacts On Other Objectives'!$AE$11" noThreeD="1"/>
</file>

<file path=xl/ctrlProps/ctrlProp17.xml><?xml version="1.0" encoding="utf-8"?>
<formControlPr xmlns="http://schemas.microsoft.com/office/spreadsheetml/2009/9/main" objectType="CheckBox" checked="Checked" fmlaLink="'4 Impacts On Other Objectives'!$AE$12" noThreeD="1"/>
</file>

<file path=xl/ctrlProps/ctrlProp18.xml><?xml version="1.0" encoding="utf-8"?>
<formControlPr xmlns="http://schemas.microsoft.com/office/spreadsheetml/2009/9/main" objectType="CheckBox" checked="Checked" fmlaLink="'4 Impacts On Other Objectives'!$AE$13" noThreeD="1"/>
</file>

<file path=xl/ctrlProps/ctrlProp19.xml><?xml version="1.0" encoding="utf-8"?>
<formControlPr xmlns="http://schemas.microsoft.com/office/spreadsheetml/2009/9/main" objectType="CheckBox" checked="Checked" fmlaLink="'4 Impacts On Other Objectives'!$AE$14" noThreeD="1"/>
</file>

<file path=xl/ctrlProps/ctrlProp2.xml><?xml version="1.0" encoding="utf-8"?>
<formControlPr xmlns="http://schemas.microsoft.com/office/spreadsheetml/2009/9/main" objectType="Scroll" dx="31" fmlaLink="$A$6" horiz="1" inc="10" max="11" min="1" page="10" val="8"/>
</file>

<file path=xl/ctrlProps/ctrlProp20.xml><?xml version="1.0" encoding="utf-8"?>
<formControlPr xmlns="http://schemas.microsoft.com/office/spreadsheetml/2009/9/main" objectType="CheckBox" checked="Checked" fmlaLink="'4 Impacts On Other Objectives'!$AE$15" noThreeD="1"/>
</file>

<file path=xl/ctrlProps/ctrlProp21.xml><?xml version="1.0" encoding="utf-8"?>
<formControlPr xmlns="http://schemas.microsoft.com/office/spreadsheetml/2009/9/main" objectType="CheckBox" checked="Checked" fmlaLink="'4 Impacts On Other Objectives'!$AE$16" noThreeD="1"/>
</file>

<file path=xl/ctrlProps/ctrlProp22.xml><?xml version="1.0" encoding="utf-8"?>
<formControlPr xmlns="http://schemas.microsoft.com/office/spreadsheetml/2009/9/main" objectType="CheckBox" checked="Checked" fmlaLink="'4 Impacts On Other Objectives'!$AE$17" noThreeD="1"/>
</file>

<file path=xl/ctrlProps/ctrlProp23.xml><?xml version="1.0" encoding="utf-8"?>
<formControlPr xmlns="http://schemas.microsoft.com/office/spreadsheetml/2009/9/main" objectType="CheckBox" checked="Checked" fmlaLink="'4 Impacts On Other Objectives'!$AE$10" noThreeD="1"/>
</file>

<file path=xl/ctrlProps/ctrlProp3.xml><?xml version="1.0" encoding="utf-8"?>
<formControlPr xmlns="http://schemas.microsoft.com/office/spreadsheetml/2009/9/main" objectType="Scroll" dx="31" fmlaLink="$A$12" horiz="1" inc="2" max="21" min="1" page="10" val="11"/>
</file>

<file path=xl/ctrlProps/ctrlProp4.xml><?xml version="1.0" encoding="utf-8"?>
<formControlPr xmlns="http://schemas.microsoft.com/office/spreadsheetml/2009/9/main" objectType="Scroll" dx="31" fmlaLink="$A$18" horiz="1" inc="2" max="21" min="1" page="10" val="21"/>
</file>

<file path=xl/ctrlProps/ctrlProp5.xml><?xml version="1.0" encoding="utf-8"?>
<formControlPr xmlns="http://schemas.microsoft.com/office/spreadsheetml/2009/9/main" objectType="Scroll" dx="31" fmlaLink="$A$24" horiz="1" inc="2" max="21" min="1" page="10" val="11"/>
</file>

<file path=xl/ctrlProps/ctrlProp6.xml><?xml version="1.0" encoding="utf-8"?>
<formControlPr xmlns="http://schemas.microsoft.com/office/spreadsheetml/2009/9/main" objectType="Scroll" dx="31" fmlaLink="$A$30" horiz="1" max="7" min="1" page="10" val="4"/>
</file>

<file path=xl/ctrlProps/ctrlProp7.xml><?xml version="1.0" encoding="utf-8"?>
<formControlPr xmlns="http://schemas.microsoft.com/office/spreadsheetml/2009/9/main" objectType="Scroll" dx="31" fmlaLink="$A$38" horiz="1" max="7" min="1" page="10" val="4"/>
</file>

<file path=xl/ctrlProps/ctrlProp8.xml><?xml version="1.0" encoding="utf-8"?>
<formControlPr xmlns="http://schemas.microsoft.com/office/spreadsheetml/2009/9/main" objectType="CheckBox" checked="Checked" fmlaLink="'4 Impacts On Other Objectives'!$AF$10" noThreeD="1"/>
</file>

<file path=xl/ctrlProps/ctrlProp9.xml><?xml version="1.0" encoding="utf-8"?>
<formControlPr xmlns="http://schemas.microsoft.com/office/spreadsheetml/2009/9/main" objectType="CheckBox" checked="Checked" fmlaLink="'4 Impacts On Other Objectives'!$AF$1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32.xml"/><Relationship Id="rId3" Type="http://schemas.microsoft.com/office/2014/relationships/chartEx" Target="../charts/chartEx9.xml"/><Relationship Id="rId7" Type="http://schemas.openxmlformats.org/officeDocument/2006/relationships/chart" Target="../charts/chart31.xml"/><Relationship Id="rId12" Type="http://schemas.openxmlformats.org/officeDocument/2006/relationships/chart" Target="../charts/chart36.xml"/><Relationship Id="rId2" Type="http://schemas.microsoft.com/office/2014/relationships/chartEx" Target="../charts/chartEx8.xml"/><Relationship Id="rId1" Type="http://schemas.openxmlformats.org/officeDocument/2006/relationships/chart" Target="../charts/chart27.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microsoft.com/office/2014/relationships/chartEx" Target="../charts/chartEx3.xml"/><Relationship Id="rId1" Type="http://schemas.microsoft.com/office/2014/relationships/chartEx" Target="../charts/chartEx2.xml"/><Relationship Id="rId4"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8" Type="http://schemas.openxmlformats.org/officeDocument/2006/relationships/chart" Target="../charts/chart12.xml"/><Relationship Id="rId3" Type="http://schemas.microsoft.com/office/2014/relationships/chartEx" Target="../charts/chartEx5.xml"/><Relationship Id="rId7" Type="http://schemas.openxmlformats.org/officeDocument/2006/relationships/chart" Target="../charts/chart11.xml"/><Relationship Id="rId12" Type="http://schemas.openxmlformats.org/officeDocument/2006/relationships/chart" Target="../charts/chart16.xml"/><Relationship Id="rId2" Type="http://schemas.microsoft.com/office/2014/relationships/chartEx" Target="../charts/chartEx4.xml"/><Relationship Id="rId1" Type="http://schemas.openxmlformats.org/officeDocument/2006/relationships/chart" Target="../charts/chart7.xml"/><Relationship Id="rId6" Type="http://schemas.openxmlformats.org/officeDocument/2006/relationships/chart" Target="../charts/chart10.xml"/><Relationship Id="rId11" Type="http://schemas.openxmlformats.org/officeDocument/2006/relationships/chart" Target="../charts/chart15.xml"/><Relationship Id="rId5" Type="http://schemas.openxmlformats.org/officeDocument/2006/relationships/chart" Target="../charts/chart9.xml"/><Relationship Id="rId10" Type="http://schemas.openxmlformats.org/officeDocument/2006/relationships/chart" Target="../charts/chart14.xml"/><Relationship Id="rId4" Type="http://schemas.openxmlformats.org/officeDocument/2006/relationships/chart" Target="../charts/chart8.xml"/><Relationship Id="rId9"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2.xml"/><Relationship Id="rId3" Type="http://schemas.microsoft.com/office/2014/relationships/chartEx" Target="../charts/chartEx7.xml"/><Relationship Id="rId7" Type="http://schemas.openxmlformats.org/officeDocument/2006/relationships/chart" Target="../charts/chart21.xml"/><Relationship Id="rId12" Type="http://schemas.openxmlformats.org/officeDocument/2006/relationships/chart" Target="../charts/chart26.xml"/><Relationship Id="rId2" Type="http://schemas.microsoft.com/office/2014/relationships/chartEx" Target="../charts/chartEx6.xml"/><Relationship Id="rId1" Type="http://schemas.openxmlformats.org/officeDocument/2006/relationships/chart" Target="../charts/chart17.xml"/><Relationship Id="rId6" Type="http://schemas.openxmlformats.org/officeDocument/2006/relationships/chart" Target="../charts/chart20.xml"/><Relationship Id="rId11" Type="http://schemas.openxmlformats.org/officeDocument/2006/relationships/chart" Target="../charts/chart25.xml"/><Relationship Id="rId5" Type="http://schemas.openxmlformats.org/officeDocument/2006/relationships/chart" Target="../charts/chart19.xml"/><Relationship Id="rId10" Type="http://schemas.openxmlformats.org/officeDocument/2006/relationships/chart" Target="../charts/chart24.xml"/><Relationship Id="rId4" Type="http://schemas.openxmlformats.org/officeDocument/2006/relationships/chart" Target="../charts/chart18.xml"/><Relationship Id="rId9"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xdr:twoCellAnchor>
    <xdr:from>
      <xdr:col>13</xdr:col>
      <xdr:colOff>533400</xdr:colOff>
      <xdr:row>1</xdr:row>
      <xdr:rowOff>0</xdr:rowOff>
    </xdr:from>
    <xdr:to>
      <xdr:col>17</xdr:col>
      <xdr:colOff>527050</xdr:colOff>
      <xdr:row>5</xdr:row>
      <xdr:rowOff>241300</xdr:rowOff>
    </xdr:to>
    <xdr:sp macro="" textlink="">
      <xdr:nvSpPr>
        <xdr:cNvPr id="3" name="Speech Bubble: Rectangle with Corners Rounded 2">
          <a:extLst>
            <a:ext uri="{FF2B5EF4-FFF2-40B4-BE49-F238E27FC236}">
              <a16:creationId xmlns:a16="http://schemas.microsoft.com/office/drawing/2014/main" id="{00000000-0008-0000-0000-000003000000}"/>
            </a:ext>
          </a:extLst>
        </xdr:cNvPr>
        <xdr:cNvSpPr/>
      </xdr:nvSpPr>
      <xdr:spPr>
        <a:xfrm>
          <a:off x="8534400" y="330200"/>
          <a:ext cx="2432050" cy="1003300"/>
        </a:xfrm>
        <a:prstGeom prst="wedgeRoundRectCallout">
          <a:avLst>
            <a:gd name="adj1" fmla="val -84737"/>
            <a:gd name="adj2" fmla="val -14440"/>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52000" rtlCol="0" anchor="t"/>
        <a:lstStyle/>
        <a:p>
          <a:pPr lvl="0" algn="l"/>
          <a:r>
            <a:rPr lang="en-GB" sz="1000">
              <a:solidFill>
                <a:schemeClr val="accent1">
                  <a:lumMod val="75000"/>
                </a:schemeClr>
              </a:solidFill>
            </a:rPr>
            <a:t>The calculations relate to operational carbon emissions from private car.</a:t>
          </a:r>
        </a:p>
        <a:p>
          <a:pPr algn="l"/>
          <a:endParaRPr lang="en-GB" sz="1000">
            <a:solidFill>
              <a:schemeClr val="accent1">
                <a:lumMod val="75000"/>
              </a:schemeClr>
            </a:solidFill>
          </a:endParaRPr>
        </a:p>
        <a:p>
          <a:pPr lvl="0" algn="l"/>
          <a:r>
            <a:rPr lang="en-GB" sz="1000">
              <a:solidFill>
                <a:schemeClr val="accent1">
                  <a:lumMod val="75000"/>
                </a:schemeClr>
              </a:solidFill>
            </a:rPr>
            <a:t>Cars</a:t>
          </a:r>
          <a:r>
            <a:rPr lang="en-GB" sz="1000" baseline="0">
              <a:solidFill>
                <a:schemeClr val="accent1">
                  <a:lumMod val="75000"/>
                </a:schemeClr>
              </a:solidFill>
            </a:rPr>
            <a:t> typically account for around 70% of surface transpot emissions in cities.</a:t>
          </a:r>
          <a:endParaRPr lang="en-GB" sz="1000">
            <a:solidFill>
              <a:schemeClr val="accent1">
                <a:lumMod val="75000"/>
              </a:schemeClr>
            </a:solidFill>
          </a:endParaRPr>
        </a:p>
      </xdr:txBody>
    </xdr:sp>
    <xdr:clientData/>
  </xdr:twoCellAnchor>
  <xdr:twoCellAnchor editAs="oneCell">
    <xdr:from>
      <xdr:col>14</xdr:col>
      <xdr:colOff>1426</xdr:colOff>
      <xdr:row>1</xdr:row>
      <xdr:rowOff>158750</xdr:rowOff>
    </xdr:from>
    <xdr:to>
      <xdr:col>14</xdr:col>
      <xdr:colOff>152400</xdr:colOff>
      <xdr:row>3</xdr:row>
      <xdr:rowOff>146050</xdr:rowOff>
    </xdr:to>
    <xdr:pic>
      <xdr:nvPicPr>
        <xdr:cNvPr id="4" name="Picture 3" descr="See the source imag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2026" y="488950"/>
          <a:ext cx="150974"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115</xdr:col>
      <xdr:colOff>71313</xdr:colOff>
      <xdr:row>41</xdr:row>
      <xdr:rowOff>34637</xdr:rowOff>
    </xdr:from>
    <xdr:to>
      <xdr:col>129</xdr:col>
      <xdr:colOff>0</xdr:colOff>
      <xdr:row>72</xdr:row>
      <xdr:rowOff>0</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176069</xdr:colOff>
      <xdr:row>14</xdr:row>
      <xdr:rowOff>40411</xdr:rowOff>
    </xdr:from>
    <xdr:to>
      <xdr:col>21</xdr:col>
      <xdr:colOff>233796</xdr:colOff>
      <xdr:row>41</xdr:row>
      <xdr:rowOff>50512</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7542069" y="4548911"/>
          <a:ext cx="6788727" cy="5725101"/>
          <a:chOff x="7442842" y="1549083"/>
          <a:chExt cx="6690446" cy="6011687"/>
        </a:xfrm>
      </xdr:grpSpPr>
      <xdr:grpSp>
        <xdr:nvGrpSpPr>
          <xdr:cNvPr id="4" name="Group 3">
            <a:extLst>
              <a:ext uri="{FF2B5EF4-FFF2-40B4-BE49-F238E27FC236}">
                <a16:creationId xmlns:a16="http://schemas.microsoft.com/office/drawing/2014/main" id="{00000000-0008-0000-0900-000004000000}"/>
              </a:ext>
            </a:extLst>
          </xdr:cNvPr>
          <xdr:cNvGrpSpPr/>
        </xdr:nvGrpSpPr>
        <xdr:grpSpPr>
          <a:xfrm>
            <a:off x="7442842" y="1549083"/>
            <a:ext cx="6690446" cy="6011687"/>
            <a:chOff x="9806215" y="1187485"/>
            <a:chExt cx="6658429" cy="4936132"/>
          </a:xfrm>
        </xdr:grpSpPr>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00000000-0008-0000-0900-000008000000}"/>
                    </a:ext>
                  </a:extLst>
                </xdr:cNvPr>
                <xdr:cNvGraphicFramePr/>
              </xdr:nvGraphicFramePr>
              <xdr:xfrm>
                <a:off x="9806215" y="1187485"/>
                <a:ext cx="6658429" cy="4936132"/>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9806215" y="1187485"/>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9" name="Straight Connector 8">
              <a:extLst>
                <a:ext uri="{FF2B5EF4-FFF2-40B4-BE49-F238E27FC236}">
                  <a16:creationId xmlns:a16="http://schemas.microsoft.com/office/drawing/2014/main" id="{00000000-0008-0000-0900-000009000000}"/>
                </a:ext>
              </a:extLst>
            </xdr:cNvPr>
            <xdr:cNvCxnSpPr/>
          </xdr:nvCxnSpPr>
          <xdr:spPr>
            <a:xfrm>
              <a:off x="10176263" y="3481489"/>
              <a:ext cx="6204857" cy="9071"/>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10" name="Rectangle 9">
              <a:extLst>
                <a:ext uri="{FF2B5EF4-FFF2-40B4-BE49-F238E27FC236}">
                  <a16:creationId xmlns:a16="http://schemas.microsoft.com/office/drawing/2014/main" id="{00000000-0008-0000-0900-00000A000000}"/>
                </a:ext>
              </a:extLst>
            </xdr:cNvPr>
            <xdr:cNvSpPr/>
          </xdr:nvSpPr>
          <xdr:spPr>
            <a:xfrm>
              <a:off x="10522856" y="3274223"/>
              <a:ext cx="2149930" cy="1632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2030 'Fit for 55' target (55% reduction on 1990 levels)</a:t>
              </a:r>
            </a:p>
          </xdr:txBody>
        </xdr:sp>
      </xdr:grpSp>
      <xdr:sp macro="" textlink="">
        <xdr:nvSpPr>
          <xdr:cNvPr id="5" name="Rectangle 4">
            <a:extLst>
              <a:ext uri="{FF2B5EF4-FFF2-40B4-BE49-F238E27FC236}">
                <a16:creationId xmlns:a16="http://schemas.microsoft.com/office/drawing/2014/main" id="{00000000-0008-0000-0900-000005000000}"/>
              </a:ext>
            </a:extLst>
          </xdr:cNvPr>
          <xdr:cNvSpPr/>
        </xdr:nvSpPr>
        <xdr:spPr>
          <a:xfrm>
            <a:off x="9570830" y="1879115"/>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6" name="Rectangle 5">
            <a:extLst>
              <a:ext uri="{FF2B5EF4-FFF2-40B4-BE49-F238E27FC236}">
                <a16:creationId xmlns:a16="http://schemas.microsoft.com/office/drawing/2014/main" id="{00000000-0008-0000-0900-000006000000}"/>
              </a:ext>
            </a:extLst>
          </xdr:cNvPr>
          <xdr:cNvSpPr/>
        </xdr:nvSpPr>
        <xdr:spPr>
          <a:xfrm>
            <a:off x="11650349" y="1861826"/>
            <a:ext cx="878262" cy="175355"/>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7" name="Rectangle 6">
            <a:extLst>
              <a:ext uri="{FF2B5EF4-FFF2-40B4-BE49-F238E27FC236}">
                <a16:creationId xmlns:a16="http://schemas.microsoft.com/office/drawing/2014/main" id="{00000000-0008-0000-0900-000007000000}"/>
              </a:ext>
            </a:extLst>
          </xdr:cNvPr>
          <xdr:cNvSpPr/>
        </xdr:nvSpPr>
        <xdr:spPr>
          <a:xfrm>
            <a:off x="13125851" y="1858629"/>
            <a:ext cx="868709" cy="173673"/>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xdr:twoCellAnchor>
    <xdr:from>
      <xdr:col>22</xdr:col>
      <xdr:colOff>186168</xdr:colOff>
      <xdr:row>13</xdr:row>
      <xdr:rowOff>157306</xdr:rowOff>
    </xdr:from>
    <xdr:to>
      <xdr:col>32</xdr:col>
      <xdr:colOff>86591</xdr:colOff>
      <xdr:row>40</xdr:row>
      <xdr:rowOff>89477</xdr:rowOff>
    </xdr:to>
    <xdr:grpSp>
      <xdr:nvGrpSpPr>
        <xdr:cNvPr id="11" name="Group 10">
          <a:extLst>
            <a:ext uri="{FF2B5EF4-FFF2-40B4-BE49-F238E27FC236}">
              <a16:creationId xmlns:a16="http://schemas.microsoft.com/office/drawing/2014/main" id="{00000000-0008-0000-0900-00000B000000}"/>
            </a:ext>
          </a:extLst>
        </xdr:cNvPr>
        <xdr:cNvGrpSpPr/>
      </xdr:nvGrpSpPr>
      <xdr:grpSpPr>
        <a:xfrm>
          <a:off x="14918168" y="4475306"/>
          <a:ext cx="6504423" cy="5647171"/>
          <a:chOff x="7442841" y="1549082"/>
          <a:chExt cx="6690446" cy="6011687"/>
        </a:xfrm>
      </xdr:grpSpPr>
      <xdr:grpSp>
        <xdr:nvGrpSpPr>
          <xdr:cNvPr id="12" name="Group 11">
            <a:extLst>
              <a:ext uri="{FF2B5EF4-FFF2-40B4-BE49-F238E27FC236}">
                <a16:creationId xmlns:a16="http://schemas.microsoft.com/office/drawing/2014/main" id="{00000000-0008-0000-0900-00000C000000}"/>
              </a:ext>
            </a:extLst>
          </xdr:cNvPr>
          <xdr:cNvGrpSpPr/>
        </xdr:nvGrpSpPr>
        <xdr:grpSpPr>
          <a:xfrm>
            <a:off x="7442841" y="1549082"/>
            <a:ext cx="6690446" cy="6011687"/>
            <a:chOff x="9806214" y="1187484"/>
            <a:chExt cx="6658429" cy="4936132"/>
          </a:xfrm>
        </xdr:grpSpPr>
        <mc:AlternateContent xmlns:mc="http://schemas.openxmlformats.org/markup-compatibility/2006">
          <mc:Choice xmlns:cx1="http://schemas.microsoft.com/office/drawing/2015/9/8/chartex" Requires="cx1">
            <xdr:graphicFrame macro="">
              <xdr:nvGraphicFramePr>
                <xdr:cNvPr id="16" name="Chart 15">
                  <a:extLst>
                    <a:ext uri="{FF2B5EF4-FFF2-40B4-BE49-F238E27FC236}">
                      <a16:creationId xmlns:a16="http://schemas.microsoft.com/office/drawing/2014/main" id="{00000000-0008-0000-0900-000010000000}"/>
                    </a:ext>
                  </a:extLst>
                </xdr:cNvPr>
                <xdr:cNvGraphicFramePr>
                  <a:graphicFrameLocks noChangeAspect="1"/>
                </xdr:cNvGraphicFramePr>
              </xdr:nvGraphicFramePr>
              <xdr:xfrm>
                <a:off x="9806214" y="1187484"/>
                <a:ext cx="6658429" cy="4936132"/>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9806214" y="1187484"/>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17" name="Straight Connector 16">
              <a:extLst>
                <a:ext uri="{FF2B5EF4-FFF2-40B4-BE49-F238E27FC236}">
                  <a16:creationId xmlns:a16="http://schemas.microsoft.com/office/drawing/2014/main" id="{00000000-0008-0000-0900-000011000000}"/>
                </a:ext>
              </a:extLst>
            </xdr:cNvPr>
            <xdr:cNvCxnSpPr/>
          </xdr:nvCxnSpPr>
          <xdr:spPr>
            <a:xfrm flipV="1">
              <a:off x="10240165" y="4399062"/>
              <a:ext cx="6152513" cy="439"/>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18" name="Rectangle 17">
              <a:extLst>
                <a:ext uri="{FF2B5EF4-FFF2-40B4-BE49-F238E27FC236}">
                  <a16:creationId xmlns:a16="http://schemas.microsoft.com/office/drawing/2014/main" id="{00000000-0008-0000-0900-000012000000}"/>
                </a:ext>
              </a:extLst>
            </xdr:cNvPr>
            <xdr:cNvSpPr/>
          </xdr:nvSpPr>
          <xdr:spPr>
            <a:xfrm>
              <a:off x="10550675" y="4211448"/>
              <a:ext cx="2233388" cy="1378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2050 'Green Deal' target (90% reduction on 1990 levels)</a:t>
              </a:r>
            </a:p>
          </xdr:txBody>
        </xdr:sp>
      </xdr:grpSp>
      <xdr:sp macro="" textlink="">
        <xdr:nvSpPr>
          <xdr:cNvPr id="13" name="Rectangle 12">
            <a:extLst>
              <a:ext uri="{FF2B5EF4-FFF2-40B4-BE49-F238E27FC236}">
                <a16:creationId xmlns:a16="http://schemas.microsoft.com/office/drawing/2014/main" id="{00000000-0008-0000-0900-00000D000000}"/>
              </a:ext>
            </a:extLst>
          </xdr:cNvPr>
          <xdr:cNvSpPr/>
        </xdr:nvSpPr>
        <xdr:spPr>
          <a:xfrm>
            <a:off x="9484332" y="1879114"/>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14" name="Rectangle 13">
            <a:extLst>
              <a:ext uri="{FF2B5EF4-FFF2-40B4-BE49-F238E27FC236}">
                <a16:creationId xmlns:a16="http://schemas.microsoft.com/office/drawing/2014/main" id="{00000000-0008-0000-0900-00000E000000}"/>
              </a:ext>
            </a:extLst>
          </xdr:cNvPr>
          <xdr:cNvSpPr/>
        </xdr:nvSpPr>
        <xdr:spPr>
          <a:xfrm>
            <a:off x="11618178" y="1886527"/>
            <a:ext cx="878262" cy="175356"/>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15" name="Rectangle 14">
            <a:extLst>
              <a:ext uri="{FF2B5EF4-FFF2-40B4-BE49-F238E27FC236}">
                <a16:creationId xmlns:a16="http://schemas.microsoft.com/office/drawing/2014/main" id="{00000000-0008-0000-0900-00000F000000}"/>
              </a:ext>
            </a:extLst>
          </xdr:cNvPr>
          <xdr:cNvSpPr/>
        </xdr:nvSpPr>
        <xdr:spPr>
          <a:xfrm>
            <a:off x="13091210" y="1883173"/>
            <a:ext cx="891955" cy="188121"/>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xdr:twoCellAnchor>
    <xdr:from>
      <xdr:col>154</xdr:col>
      <xdr:colOff>199160</xdr:colOff>
      <xdr:row>42</xdr:row>
      <xdr:rowOff>125557</xdr:rowOff>
    </xdr:from>
    <xdr:to>
      <xdr:col>165</xdr:col>
      <xdr:colOff>542637</xdr:colOff>
      <xdr:row>78</xdr:row>
      <xdr:rowOff>34636</xdr:rowOff>
    </xdr:to>
    <xdr:graphicFrame macro="">
      <xdr:nvGraphicFramePr>
        <xdr:cNvPr id="19" name="Chart 18">
          <a:extLst>
            <a:ext uri="{FF2B5EF4-FFF2-40B4-BE49-F238E27FC236}">
              <a16:creationId xmlns:a16="http://schemas.microsoft.com/office/drawing/2014/main" id="{00000000-0008-0000-09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199</xdr:col>
      <xdr:colOff>79374</xdr:colOff>
      <xdr:row>42</xdr:row>
      <xdr:rowOff>15874</xdr:rowOff>
    </xdr:from>
    <xdr:to>
      <xdr:col>212</xdr:col>
      <xdr:colOff>0</xdr:colOff>
      <xdr:row>78</xdr:row>
      <xdr:rowOff>0</xdr:rowOff>
    </xdr:to>
    <xdr:graphicFrame macro="">
      <xdr:nvGraphicFramePr>
        <xdr:cNvPr id="20" name="Chart 19">
          <a:extLst>
            <a:ext uri="{FF2B5EF4-FFF2-40B4-BE49-F238E27FC236}">
              <a16:creationId xmlns:a16="http://schemas.microsoft.com/office/drawing/2014/main" id="{00000000-0008-0000-09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214</xdr:col>
      <xdr:colOff>95249</xdr:colOff>
      <xdr:row>42</xdr:row>
      <xdr:rowOff>63500</xdr:rowOff>
    </xdr:from>
    <xdr:to>
      <xdr:col>227</xdr:col>
      <xdr:colOff>0</xdr:colOff>
      <xdr:row>78</xdr:row>
      <xdr:rowOff>-1</xdr:rowOff>
    </xdr:to>
    <xdr:graphicFrame macro="">
      <xdr:nvGraphicFramePr>
        <xdr:cNvPr id="21" name="Chart 20">
          <a:extLst>
            <a:ext uri="{FF2B5EF4-FFF2-40B4-BE49-F238E27FC236}">
              <a16:creationId xmlns:a16="http://schemas.microsoft.com/office/drawing/2014/main" id="{00000000-0008-0000-09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229</xdr:col>
      <xdr:colOff>31749</xdr:colOff>
      <xdr:row>42</xdr:row>
      <xdr:rowOff>31749</xdr:rowOff>
    </xdr:from>
    <xdr:to>
      <xdr:col>242</xdr:col>
      <xdr:colOff>0</xdr:colOff>
      <xdr:row>78</xdr:row>
      <xdr:rowOff>-1</xdr:rowOff>
    </xdr:to>
    <xdr:graphicFrame macro="">
      <xdr:nvGraphicFramePr>
        <xdr:cNvPr id="22" name="Chart 21">
          <a:extLst>
            <a:ext uri="{FF2B5EF4-FFF2-40B4-BE49-F238E27FC236}">
              <a16:creationId xmlns:a16="http://schemas.microsoft.com/office/drawing/2014/main" id="{00000000-0008-0000-09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244</xdr:col>
      <xdr:colOff>47624</xdr:colOff>
      <xdr:row>42</xdr:row>
      <xdr:rowOff>47625</xdr:rowOff>
    </xdr:from>
    <xdr:to>
      <xdr:col>257</xdr:col>
      <xdr:colOff>-1</xdr:colOff>
      <xdr:row>78</xdr:row>
      <xdr:rowOff>0</xdr:rowOff>
    </xdr:to>
    <xdr:graphicFrame macro="">
      <xdr:nvGraphicFramePr>
        <xdr:cNvPr id="23" name="Chart 22">
          <a:extLst>
            <a:ext uri="{FF2B5EF4-FFF2-40B4-BE49-F238E27FC236}">
              <a16:creationId xmlns:a16="http://schemas.microsoft.com/office/drawing/2014/main" id="{00000000-0008-0000-09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169</xdr:col>
      <xdr:colOff>31750</xdr:colOff>
      <xdr:row>41</xdr:row>
      <xdr:rowOff>47625</xdr:rowOff>
    </xdr:from>
    <xdr:to>
      <xdr:col>182</xdr:col>
      <xdr:colOff>0</xdr:colOff>
      <xdr:row>77</xdr:row>
      <xdr:rowOff>0</xdr:rowOff>
    </xdr:to>
    <xdr:graphicFrame macro="">
      <xdr:nvGraphicFramePr>
        <xdr:cNvPr id="24" name="Chart 23">
          <a:extLst>
            <a:ext uri="{FF2B5EF4-FFF2-40B4-BE49-F238E27FC236}">
              <a16:creationId xmlns:a16="http://schemas.microsoft.com/office/drawing/2014/main" id="{00000000-0008-0000-09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184</xdr:col>
      <xdr:colOff>0</xdr:colOff>
      <xdr:row>41</xdr:row>
      <xdr:rowOff>15875</xdr:rowOff>
    </xdr:from>
    <xdr:to>
      <xdr:col>197</xdr:col>
      <xdr:colOff>0</xdr:colOff>
      <xdr:row>77</xdr:row>
      <xdr:rowOff>0</xdr:rowOff>
    </xdr:to>
    <xdr:graphicFrame macro="">
      <xdr:nvGraphicFramePr>
        <xdr:cNvPr id="25" name="Chart 24">
          <a:extLst>
            <a:ext uri="{FF2B5EF4-FFF2-40B4-BE49-F238E27FC236}">
              <a16:creationId xmlns:a16="http://schemas.microsoft.com/office/drawing/2014/main" id="{00000000-0008-0000-09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283</xdr:col>
      <xdr:colOff>421410</xdr:colOff>
      <xdr:row>6</xdr:row>
      <xdr:rowOff>34635</xdr:rowOff>
    </xdr:from>
    <xdr:to>
      <xdr:col>298</xdr:col>
      <xdr:colOff>548410</xdr:colOff>
      <xdr:row>36</xdr:row>
      <xdr:rowOff>92363</xdr:rowOff>
    </xdr:to>
    <xdr:graphicFrame macro="">
      <xdr:nvGraphicFramePr>
        <xdr:cNvPr id="26" name="Chart 25">
          <a:extLst>
            <a:ext uri="{FF2B5EF4-FFF2-40B4-BE49-F238E27FC236}">
              <a16:creationId xmlns:a16="http://schemas.microsoft.com/office/drawing/2014/main" id="{00000000-0008-0000-09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154</xdr:col>
      <xdr:colOff>0</xdr:colOff>
      <xdr:row>81</xdr:row>
      <xdr:rowOff>0</xdr:rowOff>
    </xdr:from>
    <xdr:to>
      <xdr:col>165</xdr:col>
      <xdr:colOff>343477</xdr:colOff>
      <xdr:row>120</xdr:row>
      <xdr:rowOff>31750</xdr:rowOff>
    </xdr:to>
    <xdr:graphicFrame macro="">
      <xdr:nvGraphicFramePr>
        <xdr:cNvPr id="27" name="Chart 26">
          <a:extLst>
            <a:ext uri="{FF2B5EF4-FFF2-40B4-BE49-F238E27FC236}">
              <a16:creationId xmlns:a16="http://schemas.microsoft.com/office/drawing/2014/main" id="{00000000-0008-0000-09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44450</xdr:colOff>
      <xdr:row>2</xdr:row>
      <xdr:rowOff>114300</xdr:rowOff>
    </xdr:from>
    <xdr:to>
      <xdr:col>13</xdr:col>
      <xdr:colOff>536302</xdr:colOff>
      <xdr:row>19</xdr:row>
      <xdr:rowOff>107950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050" y="482600"/>
          <a:ext cx="7807052"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41720</xdr:colOff>
      <xdr:row>8</xdr:row>
      <xdr:rowOff>96149</xdr:rowOff>
    </xdr:from>
    <xdr:to>
      <xdr:col>12</xdr:col>
      <xdr:colOff>489857</xdr:colOff>
      <xdr:row>41</xdr:row>
      <xdr:rowOff>163285</xdr:rowOff>
    </xdr:to>
    <xdr:grpSp>
      <xdr:nvGrpSpPr>
        <xdr:cNvPr id="12" name="Group 11">
          <a:extLst>
            <a:ext uri="{FF2B5EF4-FFF2-40B4-BE49-F238E27FC236}">
              <a16:creationId xmlns:a16="http://schemas.microsoft.com/office/drawing/2014/main" id="{00000000-0008-0000-0200-00000C000000}"/>
            </a:ext>
          </a:extLst>
        </xdr:cNvPr>
        <xdr:cNvGrpSpPr/>
      </xdr:nvGrpSpPr>
      <xdr:grpSpPr>
        <a:xfrm>
          <a:off x="437294" y="2417542"/>
          <a:ext cx="6631579" cy="6562874"/>
          <a:chOff x="9806214" y="1187484"/>
          <a:chExt cx="6658429" cy="4936132"/>
        </a:xfrm>
      </xdr:grpSpPr>
      <xdr:grpSp>
        <xdr:nvGrpSpPr>
          <xdr:cNvPr id="13" name="Group 12">
            <a:extLst>
              <a:ext uri="{FF2B5EF4-FFF2-40B4-BE49-F238E27FC236}">
                <a16:creationId xmlns:a16="http://schemas.microsoft.com/office/drawing/2014/main" id="{00000000-0008-0000-0200-00000D000000}"/>
              </a:ext>
            </a:extLst>
          </xdr:cNvPr>
          <xdr:cNvGrpSpPr/>
        </xdr:nvGrpSpPr>
        <xdr:grpSpPr>
          <a:xfrm>
            <a:off x="9806214" y="1187484"/>
            <a:ext cx="6658429" cy="4936132"/>
            <a:chOff x="9806214" y="1187484"/>
            <a:chExt cx="6658429" cy="4936132"/>
          </a:xfrm>
        </xdr:grpSpPr>
        <mc:AlternateContent xmlns:mc="http://schemas.openxmlformats.org/markup-compatibility/2006">
          <mc:Choice xmlns:cx1="http://schemas.microsoft.com/office/drawing/2015/9/8/chartex" Requires="cx1">
            <xdr:graphicFrame macro="">
              <xdr:nvGraphicFramePr>
                <xdr:cNvPr id="17" name="Chart 16">
                  <a:extLst>
                    <a:ext uri="{FF2B5EF4-FFF2-40B4-BE49-F238E27FC236}">
                      <a16:creationId xmlns:a16="http://schemas.microsoft.com/office/drawing/2014/main" id="{00000000-0008-0000-0200-000011000000}"/>
                    </a:ext>
                  </a:extLst>
                </xdr:cNvPr>
                <xdr:cNvGraphicFramePr/>
              </xdr:nvGraphicFramePr>
              <xdr:xfrm>
                <a:off x="9806214" y="1187484"/>
                <a:ext cx="6658429" cy="4936132"/>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9806214" y="1187484"/>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18" name="Straight Connector 17">
              <a:extLst>
                <a:ext uri="{FF2B5EF4-FFF2-40B4-BE49-F238E27FC236}">
                  <a16:creationId xmlns:a16="http://schemas.microsoft.com/office/drawing/2014/main" id="{00000000-0008-0000-0200-000012000000}"/>
                </a:ext>
              </a:extLst>
            </xdr:cNvPr>
            <xdr:cNvCxnSpPr/>
          </xdr:nvCxnSpPr>
          <xdr:spPr>
            <a:xfrm>
              <a:off x="10202290" y="3576819"/>
              <a:ext cx="6187041" cy="8974"/>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19" name="Rectangle 18">
              <a:extLst>
                <a:ext uri="{FF2B5EF4-FFF2-40B4-BE49-F238E27FC236}">
                  <a16:creationId xmlns:a16="http://schemas.microsoft.com/office/drawing/2014/main" id="{00000000-0008-0000-0200-000013000000}"/>
                </a:ext>
              </a:extLst>
            </xdr:cNvPr>
            <xdr:cNvSpPr/>
          </xdr:nvSpPr>
          <xdr:spPr>
            <a:xfrm>
              <a:off x="10527751" y="3442931"/>
              <a:ext cx="2206197" cy="1337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2030 'Fit for 55' target (55% reduction on 1990 levels)</a:t>
              </a:r>
            </a:p>
          </xdr:txBody>
        </xdr:sp>
        <xdr:cxnSp macro="">
          <xdr:nvCxnSpPr>
            <xdr:cNvPr id="20" name="Straight Connector 19">
              <a:extLst>
                <a:ext uri="{FF2B5EF4-FFF2-40B4-BE49-F238E27FC236}">
                  <a16:creationId xmlns:a16="http://schemas.microsoft.com/office/drawing/2014/main" id="{00000000-0008-0000-0200-000014000000}"/>
                </a:ext>
              </a:extLst>
            </xdr:cNvPr>
            <xdr:cNvCxnSpPr/>
          </xdr:nvCxnSpPr>
          <xdr:spPr>
            <a:xfrm>
              <a:off x="10194591" y="4569364"/>
              <a:ext cx="6204857" cy="9071"/>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21" name="Rectangle 20">
              <a:extLst>
                <a:ext uri="{FF2B5EF4-FFF2-40B4-BE49-F238E27FC236}">
                  <a16:creationId xmlns:a16="http://schemas.microsoft.com/office/drawing/2014/main" id="{00000000-0008-0000-0200-000015000000}"/>
                </a:ext>
              </a:extLst>
            </xdr:cNvPr>
            <xdr:cNvSpPr/>
          </xdr:nvSpPr>
          <xdr:spPr>
            <a:xfrm>
              <a:off x="10556563" y="4427600"/>
              <a:ext cx="2233388" cy="1378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2050 'Green Deal' target (90% reduction on 1990 levels)</a:t>
              </a:r>
            </a:p>
          </xdr:txBody>
        </xdr:sp>
      </xdr:grpSp>
      <xdr:sp macro="" textlink="">
        <xdr:nvSpPr>
          <xdr:cNvPr id="14" name="Rectangle 13">
            <a:extLst>
              <a:ext uri="{FF2B5EF4-FFF2-40B4-BE49-F238E27FC236}">
                <a16:creationId xmlns:a16="http://schemas.microsoft.com/office/drawing/2014/main" id="{00000000-0008-0000-0200-00000E000000}"/>
              </a:ext>
            </a:extLst>
          </xdr:cNvPr>
          <xdr:cNvSpPr/>
        </xdr:nvSpPr>
        <xdr:spPr>
          <a:xfrm>
            <a:off x="11937170" y="1475736"/>
            <a:ext cx="1012456" cy="131904"/>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15" name="Rectangle 14">
            <a:extLst>
              <a:ext uri="{FF2B5EF4-FFF2-40B4-BE49-F238E27FC236}">
                <a16:creationId xmlns:a16="http://schemas.microsoft.com/office/drawing/2014/main" id="{00000000-0008-0000-0200-00000F000000}"/>
              </a:ext>
            </a:extLst>
          </xdr:cNvPr>
          <xdr:cNvSpPr/>
        </xdr:nvSpPr>
        <xdr:spPr>
          <a:xfrm>
            <a:off x="14147459" y="1481821"/>
            <a:ext cx="846615" cy="125819"/>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16" name="Rectangle 15">
            <a:extLst>
              <a:ext uri="{FF2B5EF4-FFF2-40B4-BE49-F238E27FC236}">
                <a16:creationId xmlns:a16="http://schemas.microsoft.com/office/drawing/2014/main" id="{00000000-0008-0000-0200-000010000000}"/>
              </a:ext>
            </a:extLst>
          </xdr:cNvPr>
          <xdr:cNvSpPr/>
        </xdr:nvSpPr>
        <xdr:spPr>
          <a:xfrm>
            <a:off x="15429285" y="1470936"/>
            <a:ext cx="904145" cy="128072"/>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mc:AlternateContent xmlns:mc="http://schemas.openxmlformats.org/markup-compatibility/2006">
    <mc:Choice xmlns:a14="http://schemas.microsoft.com/office/drawing/2010/main" Requires="a14">
      <xdr:twoCellAnchor editAs="oneCell">
        <xdr:from>
          <xdr:col>10</xdr:col>
          <xdr:colOff>6350</xdr:colOff>
          <xdr:row>8</xdr:row>
          <xdr:rowOff>152400</xdr:rowOff>
        </xdr:from>
        <xdr:to>
          <xdr:col>12</xdr:col>
          <xdr:colOff>406400</xdr:colOff>
          <xdr:row>10</xdr:row>
          <xdr:rowOff>0</xdr:rowOff>
        </xdr:to>
        <xdr:sp macro="" textlink="">
          <xdr:nvSpPr>
            <xdr:cNvPr id="20996" name="Drop Down 516" hidden="1">
              <a:extLst>
                <a:ext uri="{63B3BB69-23CF-44E3-9099-C40C66FF867C}">
                  <a14:compatExt spid="_x0000_s20996"/>
                </a:ext>
                <a:ext uri="{FF2B5EF4-FFF2-40B4-BE49-F238E27FC236}">
                  <a16:creationId xmlns:a16="http://schemas.microsoft.com/office/drawing/2014/main" id="{00000000-0008-0000-0200-0000045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6350</xdr:colOff>
          <xdr:row>5</xdr:row>
          <xdr:rowOff>38100</xdr:rowOff>
        </xdr:from>
        <xdr:to>
          <xdr:col>8</xdr:col>
          <xdr:colOff>596900</xdr:colOff>
          <xdr:row>5</xdr:row>
          <xdr:rowOff>533400</xdr:rowOff>
        </xdr:to>
        <xdr:sp macro="" textlink="">
          <xdr:nvSpPr>
            <xdr:cNvPr id="34818" name="Scroll Bar 2" hidden="1">
              <a:extLst>
                <a:ext uri="{63B3BB69-23CF-44E3-9099-C40C66FF867C}">
                  <a14:compatExt spid="_x0000_s34818"/>
                </a:ext>
                <a:ext uri="{FF2B5EF4-FFF2-40B4-BE49-F238E27FC236}">
                  <a16:creationId xmlns:a16="http://schemas.microsoft.com/office/drawing/2014/main" id="{00000000-0008-0000-0300-00000288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38100</xdr:rowOff>
        </xdr:from>
        <xdr:to>
          <xdr:col>8</xdr:col>
          <xdr:colOff>571500</xdr:colOff>
          <xdr:row>11</xdr:row>
          <xdr:rowOff>546100</xdr:rowOff>
        </xdr:to>
        <xdr:sp macro="" textlink="">
          <xdr:nvSpPr>
            <xdr:cNvPr id="34819" name="Scroll Bar 3" hidden="1">
              <a:extLst>
                <a:ext uri="{63B3BB69-23CF-44E3-9099-C40C66FF867C}">
                  <a14:compatExt spid="_x0000_s34819"/>
                </a:ext>
                <a:ext uri="{FF2B5EF4-FFF2-40B4-BE49-F238E27FC236}">
                  <a16:creationId xmlns:a16="http://schemas.microsoft.com/office/drawing/2014/main" id="{00000000-0008-0000-0300-00000388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654050</xdr:colOff>
          <xdr:row>17</xdr:row>
          <xdr:rowOff>44450</xdr:rowOff>
        </xdr:from>
        <xdr:to>
          <xdr:col>8</xdr:col>
          <xdr:colOff>577850</xdr:colOff>
          <xdr:row>17</xdr:row>
          <xdr:rowOff>533400</xdr:rowOff>
        </xdr:to>
        <xdr:sp macro="" textlink="">
          <xdr:nvSpPr>
            <xdr:cNvPr id="34820" name="Scroll Bar 4" hidden="1">
              <a:extLst>
                <a:ext uri="{63B3BB69-23CF-44E3-9099-C40C66FF867C}">
                  <a14:compatExt spid="_x0000_s34820"/>
                </a:ext>
                <a:ext uri="{FF2B5EF4-FFF2-40B4-BE49-F238E27FC236}">
                  <a16:creationId xmlns:a16="http://schemas.microsoft.com/office/drawing/2014/main" id="{00000000-0008-0000-0300-00000488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23</xdr:row>
          <xdr:rowOff>38100</xdr:rowOff>
        </xdr:from>
        <xdr:to>
          <xdr:col>9</xdr:col>
          <xdr:colOff>0</xdr:colOff>
          <xdr:row>23</xdr:row>
          <xdr:rowOff>558800</xdr:rowOff>
        </xdr:to>
        <xdr:sp macro="" textlink="">
          <xdr:nvSpPr>
            <xdr:cNvPr id="34821" name="Scroll Bar 5" hidden="1">
              <a:extLst>
                <a:ext uri="{63B3BB69-23CF-44E3-9099-C40C66FF867C}">
                  <a14:compatExt spid="_x0000_s34821"/>
                </a:ext>
                <a:ext uri="{FF2B5EF4-FFF2-40B4-BE49-F238E27FC236}">
                  <a16:creationId xmlns:a16="http://schemas.microsoft.com/office/drawing/2014/main" id="{00000000-0008-0000-0300-00000588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679450</xdr:colOff>
          <xdr:row>29</xdr:row>
          <xdr:rowOff>50800</xdr:rowOff>
        </xdr:from>
        <xdr:to>
          <xdr:col>8</xdr:col>
          <xdr:colOff>596900</xdr:colOff>
          <xdr:row>30</xdr:row>
          <xdr:rowOff>254000</xdr:rowOff>
        </xdr:to>
        <xdr:sp macro="" textlink="">
          <xdr:nvSpPr>
            <xdr:cNvPr id="34822" name="Scroll Bar 6" hidden="1">
              <a:extLst>
                <a:ext uri="{63B3BB69-23CF-44E3-9099-C40C66FF867C}">
                  <a14:compatExt spid="_x0000_s34822"/>
                </a:ext>
                <a:ext uri="{FF2B5EF4-FFF2-40B4-BE49-F238E27FC236}">
                  <a16:creationId xmlns:a16="http://schemas.microsoft.com/office/drawing/2014/main" id="{00000000-0008-0000-0300-00000688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xdr:twoCellAnchor>
    <xdr:from>
      <xdr:col>17</xdr:col>
      <xdr:colOff>25400</xdr:colOff>
      <xdr:row>27</xdr:row>
      <xdr:rowOff>152400</xdr:rowOff>
    </xdr:from>
    <xdr:to>
      <xdr:col>27</xdr:col>
      <xdr:colOff>177800</xdr:colOff>
      <xdr:row>57</xdr:row>
      <xdr:rowOff>0</xdr:rowOff>
    </xdr:to>
    <xdr:grpSp>
      <xdr:nvGrpSpPr>
        <xdr:cNvPr id="54" name="Group 53">
          <a:extLst>
            <a:ext uri="{FF2B5EF4-FFF2-40B4-BE49-F238E27FC236}">
              <a16:creationId xmlns:a16="http://schemas.microsoft.com/office/drawing/2014/main" id="{00000000-0008-0000-0300-000036000000}"/>
            </a:ext>
          </a:extLst>
        </xdr:cNvPr>
        <xdr:cNvGrpSpPr/>
      </xdr:nvGrpSpPr>
      <xdr:grpSpPr>
        <a:xfrm>
          <a:off x="10327951" y="7746482"/>
          <a:ext cx="6243216" cy="5938416"/>
          <a:chOff x="7442842" y="1549083"/>
          <a:chExt cx="6690446" cy="6011687"/>
        </a:xfrm>
      </xdr:grpSpPr>
      <xdr:grpSp>
        <xdr:nvGrpSpPr>
          <xdr:cNvPr id="55" name="Group 54">
            <a:extLst>
              <a:ext uri="{FF2B5EF4-FFF2-40B4-BE49-F238E27FC236}">
                <a16:creationId xmlns:a16="http://schemas.microsoft.com/office/drawing/2014/main" id="{00000000-0008-0000-0300-000037000000}"/>
              </a:ext>
            </a:extLst>
          </xdr:cNvPr>
          <xdr:cNvGrpSpPr/>
        </xdr:nvGrpSpPr>
        <xdr:grpSpPr>
          <a:xfrm>
            <a:off x="7442842" y="1549083"/>
            <a:ext cx="6690446" cy="6011687"/>
            <a:chOff x="9806215" y="1187485"/>
            <a:chExt cx="6658429" cy="4936132"/>
          </a:xfrm>
        </xdr:grpSpPr>
        <mc:AlternateContent xmlns:mc="http://schemas.openxmlformats.org/markup-compatibility/2006">
          <mc:Choice xmlns:cx1="http://schemas.microsoft.com/office/drawing/2015/9/8/chartex" Requires="cx1">
            <xdr:graphicFrame macro="">
              <xdr:nvGraphicFramePr>
                <xdr:cNvPr id="59" name="Chart 58">
                  <a:extLst>
                    <a:ext uri="{FF2B5EF4-FFF2-40B4-BE49-F238E27FC236}">
                      <a16:creationId xmlns:a16="http://schemas.microsoft.com/office/drawing/2014/main" id="{00000000-0008-0000-0300-00003B000000}"/>
                    </a:ext>
                  </a:extLst>
                </xdr:cNvPr>
                <xdr:cNvGraphicFramePr/>
              </xdr:nvGraphicFramePr>
              <xdr:xfrm>
                <a:off x="9806215" y="1187485"/>
                <a:ext cx="6658429" cy="4936132"/>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9806215" y="1187485"/>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60" name="Straight Connector 59">
              <a:extLst>
                <a:ext uri="{FF2B5EF4-FFF2-40B4-BE49-F238E27FC236}">
                  <a16:creationId xmlns:a16="http://schemas.microsoft.com/office/drawing/2014/main" id="{00000000-0008-0000-0300-00003C000000}"/>
                </a:ext>
              </a:extLst>
            </xdr:cNvPr>
            <xdr:cNvCxnSpPr/>
          </xdr:nvCxnSpPr>
          <xdr:spPr>
            <a:xfrm>
              <a:off x="10230396" y="3528804"/>
              <a:ext cx="6204857" cy="9071"/>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61" name="Rectangle 60">
              <a:extLst>
                <a:ext uri="{FF2B5EF4-FFF2-40B4-BE49-F238E27FC236}">
                  <a16:creationId xmlns:a16="http://schemas.microsoft.com/office/drawing/2014/main" id="{00000000-0008-0000-0300-00003D000000}"/>
                </a:ext>
              </a:extLst>
            </xdr:cNvPr>
            <xdr:cNvSpPr/>
          </xdr:nvSpPr>
          <xdr:spPr>
            <a:xfrm>
              <a:off x="10522856" y="3327000"/>
              <a:ext cx="2898314" cy="1772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chemeClr val="tx1"/>
                  </a:solidFill>
                </a:rPr>
                <a:t>2030 'Fit for 55' target (55% reduction on 1990 levels)</a:t>
              </a:r>
            </a:p>
          </xdr:txBody>
        </xdr:sp>
      </xdr:grpSp>
      <xdr:sp macro="" textlink="">
        <xdr:nvSpPr>
          <xdr:cNvPr id="56" name="Rectangle 55">
            <a:extLst>
              <a:ext uri="{FF2B5EF4-FFF2-40B4-BE49-F238E27FC236}">
                <a16:creationId xmlns:a16="http://schemas.microsoft.com/office/drawing/2014/main" id="{00000000-0008-0000-0300-000038000000}"/>
              </a:ext>
            </a:extLst>
          </xdr:cNvPr>
          <xdr:cNvSpPr/>
        </xdr:nvSpPr>
        <xdr:spPr>
          <a:xfrm>
            <a:off x="9570830" y="1879115"/>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57" name="Rectangle 56">
            <a:extLst>
              <a:ext uri="{FF2B5EF4-FFF2-40B4-BE49-F238E27FC236}">
                <a16:creationId xmlns:a16="http://schemas.microsoft.com/office/drawing/2014/main" id="{00000000-0008-0000-0300-000039000000}"/>
              </a:ext>
            </a:extLst>
          </xdr:cNvPr>
          <xdr:cNvSpPr/>
        </xdr:nvSpPr>
        <xdr:spPr>
          <a:xfrm>
            <a:off x="11650349" y="1861826"/>
            <a:ext cx="878262" cy="175355"/>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58" name="Rectangle 57">
            <a:extLst>
              <a:ext uri="{FF2B5EF4-FFF2-40B4-BE49-F238E27FC236}">
                <a16:creationId xmlns:a16="http://schemas.microsoft.com/office/drawing/2014/main" id="{00000000-0008-0000-0300-00003A000000}"/>
              </a:ext>
            </a:extLst>
          </xdr:cNvPr>
          <xdr:cNvSpPr/>
        </xdr:nvSpPr>
        <xdr:spPr>
          <a:xfrm>
            <a:off x="13125851" y="1858629"/>
            <a:ext cx="868709" cy="173673"/>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xdr:twoCellAnchor>
    <xdr:from>
      <xdr:col>17</xdr:col>
      <xdr:colOff>25400</xdr:colOff>
      <xdr:row>1</xdr:row>
      <xdr:rowOff>165100</xdr:rowOff>
    </xdr:from>
    <xdr:to>
      <xdr:col>27</xdr:col>
      <xdr:colOff>179823</xdr:colOff>
      <xdr:row>24</xdr:row>
      <xdr:rowOff>152400</xdr:rowOff>
    </xdr:to>
    <xdr:grpSp>
      <xdr:nvGrpSpPr>
        <xdr:cNvPr id="70" name="Group 69">
          <a:extLst>
            <a:ext uri="{FF2B5EF4-FFF2-40B4-BE49-F238E27FC236}">
              <a16:creationId xmlns:a16="http://schemas.microsoft.com/office/drawing/2014/main" id="{00000000-0008-0000-0300-000046000000}"/>
            </a:ext>
          </a:extLst>
        </xdr:cNvPr>
        <xdr:cNvGrpSpPr/>
      </xdr:nvGrpSpPr>
      <xdr:grpSpPr>
        <a:xfrm>
          <a:off x="10327951" y="411324"/>
          <a:ext cx="6245239" cy="6764954"/>
          <a:chOff x="7442841" y="1549082"/>
          <a:chExt cx="6690446" cy="6011687"/>
        </a:xfrm>
      </xdr:grpSpPr>
      <xdr:grpSp>
        <xdr:nvGrpSpPr>
          <xdr:cNvPr id="71" name="Group 70">
            <a:extLst>
              <a:ext uri="{FF2B5EF4-FFF2-40B4-BE49-F238E27FC236}">
                <a16:creationId xmlns:a16="http://schemas.microsoft.com/office/drawing/2014/main" id="{00000000-0008-0000-0300-000047000000}"/>
              </a:ext>
            </a:extLst>
          </xdr:cNvPr>
          <xdr:cNvGrpSpPr/>
        </xdr:nvGrpSpPr>
        <xdr:grpSpPr>
          <a:xfrm>
            <a:off x="7442841" y="1549082"/>
            <a:ext cx="6690446" cy="6011687"/>
            <a:chOff x="9806214" y="1187484"/>
            <a:chExt cx="6658429" cy="4936132"/>
          </a:xfrm>
        </xdr:grpSpPr>
        <mc:AlternateContent xmlns:mc="http://schemas.openxmlformats.org/markup-compatibility/2006">
          <mc:Choice xmlns:cx1="http://schemas.microsoft.com/office/drawing/2015/9/8/chartex" Requires="cx1">
            <xdr:graphicFrame macro="">
              <xdr:nvGraphicFramePr>
                <xdr:cNvPr id="75" name="Chart 74">
                  <a:extLst>
                    <a:ext uri="{FF2B5EF4-FFF2-40B4-BE49-F238E27FC236}">
                      <a16:creationId xmlns:a16="http://schemas.microsoft.com/office/drawing/2014/main" id="{00000000-0008-0000-0300-00004B000000}"/>
                    </a:ext>
                  </a:extLst>
                </xdr:cNvPr>
                <xdr:cNvGraphicFramePr>
                  <a:graphicFrameLocks noChangeAspect="1"/>
                </xdr:cNvGraphicFramePr>
              </xdr:nvGraphicFramePr>
              <xdr:xfrm>
                <a:off x="9806214" y="1187484"/>
                <a:ext cx="6658429" cy="4936132"/>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9806214" y="1187484"/>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76" name="Straight Connector 75">
              <a:extLst>
                <a:ext uri="{FF2B5EF4-FFF2-40B4-BE49-F238E27FC236}">
                  <a16:creationId xmlns:a16="http://schemas.microsoft.com/office/drawing/2014/main" id="{00000000-0008-0000-0300-00004C000000}"/>
                </a:ext>
              </a:extLst>
            </xdr:cNvPr>
            <xdr:cNvCxnSpPr/>
          </xdr:nvCxnSpPr>
          <xdr:spPr>
            <a:xfrm flipV="1">
              <a:off x="10240165" y="4658117"/>
              <a:ext cx="6152513" cy="439"/>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77" name="Rectangle 76">
              <a:extLst>
                <a:ext uri="{FF2B5EF4-FFF2-40B4-BE49-F238E27FC236}">
                  <a16:creationId xmlns:a16="http://schemas.microsoft.com/office/drawing/2014/main" id="{00000000-0008-0000-0300-00004D000000}"/>
                </a:ext>
              </a:extLst>
            </xdr:cNvPr>
            <xdr:cNvSpPr/>
          </xdr:nvSpPr>
          <xdr:spPr>
            <a:xfrm>
              <a:off x="10564203" y="4488053"/>
              <a:ext cx="2989547" cy="1681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chemeClr val="tx1"/>
                  </a:solidFill>
                </a:rPr>
                <a:t>2050 'Green Deal' target (90% reduction on 1990 levels)</a:t>
              </a:r>
            </a:p>
          </xdr:txBody>
        </xdr:sp>
      </xdr:grpSp>
      <xdr:sp macro="" textlink="">
        <xdr:nvSpPr>
          <xdr:cNvPr id="72" name="Rectangle 71">
            <a:extLst>
              <a:ext uri="{FF2B5EF4-FFF2-40B4-BE49-F238E27FC236}">
                <a16:creationId xmlns:a16="http://schemas.microsoft.com/office/drawing/2014/main" id="{00000000-0008-0000-0300-000048000000}"/>
              </a:ext>
            </a:extLst>
          </xdr:cNvPr>
          <xdr:cNvSpPr/>
        </xdr:nvSpPr>
        <xdr:spPr>
          <a:xfrm>
            <a:off x="9484332" y="1879114"/>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73" name="Rectangle 72">
            <a:extLst>
              <a:ext uri="{FF2B5EF4-FFF2-40B4-BE49-F238E27FC236}">
                <a16:creationId xmlns:a16="http://schemas.microsoft.com/office/drawing/2014/main" id="{00000000-0008-0000-0300-000049000000}"/>
              </a:ext>
            </a:extLst>
          </xdr:cNvPr>
          <xdr:cNvSpPr/>
        </xdr:nvSpPr>
        <xdr:spPr>
          <a:xfrm>
            <a:off x="11618178" y="1886527"/>
            <a:ext cx="878262" cy="175356"/>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74" name="Rectangle 73">
            <a:extLst>
              <a:ext uri="{FF2B5EF4-FFF2-40B4-BE49-F238E27FC236}">
                <a16:creationId xmlns:a16="http://schemas.microsoft.com/office/drawing/2014/main" id="{00000000-0008-0000-0300-00004A000000}"/>
              </a:ext>
            </a:extLst>
          </xdr:cNvPr>
          <xdr:cNvSpPr/>
        </xdr:nvSpPr>
        <xdr:spPr>
          <a:xfrm>
            <a:off x="13091210" y="1883173"/>
            <a:ext cx="891955" cy="188121"/>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37</xdr:row>
          <xdr:rowOff>50800</xdr:rowOff>
        </xdr:from>
        <xdr:to>
          <xdr:col>9</xdr:col>
          <xdr:colOff>0</xdr:colOff>
          <xdr:row>38</xdr:row>
          <xdr:rowOff>241300</xdr:rowOff>
        </xdr:to>
        <xdr:sp macro="" textlink="">
          <xdr:nvSpPr>
            <xdr:cNvPr id="34823" name="Scroll Bar 7" hidden="1">
              <a:extLst>
                <a:ext uri="{63B3BB69-23CF-44E3-9099-C40C66FF867C}">
                  <a14:compatExt spid="_x0000_s34823"/>
                </a:ext>
                <a:ext uri="{FF2B5EF4-FFF2-40B4-BE49-F238E27FC236}">
                  <a16:creationId xmlns:a16="http://schemas.microsoft.com/office/drawing/2014/main" id="{00000000-0008-0000-0300-00000788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xdr:twoCellAnchor>
    <xdr:from>
      <xdr:col>28</xdr:col>
      <xdr:colOff>190500</xdr:colOff>
      <xdr:row>27</xdr:row>
      <xdr:rowOff>139700</xdr:rowOff>
    </xdr:from>
    <xdr:to>
      <xdr:col>39</xdr:col>
      <xdr:colOff>0</xdr:colOff>
      <xdr:row>57</xdr:row>
      <xdr:rowOff>76200</xdr:rowOff>
    </xdr:to>
    <xdr:graphicFrame macro="">
      <xdr:nvGraphicFramePr>
        <xdr:cNvPr id="82" name="Chart 81">
          <a:extLst>
            <a:ext uri="{FF2B5EF4-FFF2-40B4-BE49-F238E27FC236}">
              <a16:creationId xmlns:a16="http://schemas.microsoft.com/office/drawing/2014/main" id="{00000000-0008-0000-03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152400</xdr:colOff>
      <xdr:row>1</xdr:row>
      <xdr:rowOff>139700</xdr:rowOff>
    </xdr:from>
    <xdr:to>
      <xdr:col>38</xdr:col>
      <xdr:colOff>546100</xdr:colOff>
      <xdr:row>24</xdr:row>
      <xdr:rowOff>177800</xdr:rowOff>
    </xdr:to>
    <xdr:graphicFrame macro="">
      <xdr:nvGraphicFramePr>
        <xdr:cNvPr id="83" name="Chart 82">
          <a:extLst>
            <a:ext uri="{FF2B5EF4-FFF2-40B4-BE49-F238E27FC236}">
              <a16:creationId xmlns:a16="http://schemas.microsoft.com/office/drawing/2014/main" id="{00000000-0008-0000-03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46183</xdr:rowOff>
    </xdr:from>
    <xdr:to>
      <xdr:col>12</xdr:col>
      <xdr:colOff>46181</xdr:colOff>
      <xdr:row>39</xdr:row>
      <xdr:rowOff>34636</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1</xdr:colOff>
      <xdr:row>5</xdr:row>
      <xdr:rowOff>-1</xdr:rowOff>
    </xdr:from>
    <xdr:to>
      <xdr:col>39</xdr:col>
      <xdr:colOff>461819</xdr:colOff>
      <xdr:row>36</xdr:row>
      <xdr:rowOff>150090</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406400</xdr:colOff>
          <xdr:row>9</xdr:row>
          <xdr:rowOff>12700</xdr:rowOff>
        </xdr:from>
        <xdr:to>
          <xdr:col>4</xdr:col>
          <xdr:colOff>736600</xdr:colOff>
          <xdr:row>10</xdr:row>
          <xdr:rowOff>44450</xdr:rowOff>
        </xdr:to>
        <xdr:sp macro="" textlink="">
          <xdr:nvSpPr>
            <xdr:cNvPr id="46251" name="Check Box 171" hidden="1">
              <a:extLst>
                <a:ext uri="{63B3BB69-23CF-44E3-9099-C40C66FF867C}">
                  <a14:compatExt spid="_x0000_s46251"/>
                </a:ext>
                <a:ext uri="{FF2B5EF4-FFF2-40B4-BE49-F238E27FC236}">
                  <a16:creationId xmlns:a16="http://schemas.microsoft.com/office/drawing/2014/main" id="{00000000-0008-0000-0500-0000A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10</xdr:row>
          <xdr:rowOff>12700</xdr:rowOff>
        </xdr:from>
        <xdr:to>
          <xdr:col>4</xdr:col>
          <xdr:colOff>736600</xdr:colOff>
          <xdr:row>11</xdr:row>
          <xdr:rowOff>44450</xdr:rowOff>
        </xdr:to>
        <xdr:sp macro="" textlink="">
          <xdr:nvSpPr>
            <xdr:cNvPr id="46252" name="Check Box 172" hidden="1">
              <a:extLst>
                <a:ext uri="{63B3BB69-23CF-44E3-9099-C40C66FF867C}">
                  <a14:compatExt spid="_x0000_s46252"/>
                </a:ext>
                <a:ext uri="{FF2B5EF4-FFF2-40B4-BE49-F238E27FC236}">
                  <a16:creationId xmlns:a16="http://schemas.microsoft.com/office/drawing/2014/main" id="{00000000-0008-0000-0500-0000A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11</xdr:row>
          <xdr:rowOff>12700</xdr:rowOff>
        </xdr:from>
        <xdr:to>
          <xdr:col>4</xdr:col>
          <xdr:colOff>736600</xdr:colOff>
          <xdr:row>12</xdr:row>
          <xdr:rowOff>44450</xdr:rowOff>
        </xdr:to>
        <xdr:sp macro="" textlink="">
          <xdr:nvSpPr>
            <xdr:cNvPr id="46253" name="Check Box 173" hidden="1">
              <a:extLst>
                <a:ext uri="{63B3BB69-23CF-44E3-9099-C40C66FF867C}">
                  <a14:compatExt spid="_x0000_s46253"/>
                </a:ext>
                <a:ext uri="{FF2B5EF4-FFF2-40B4-BE49-F238E27FC236}">
                  <a16:creationId xmlns:a16="http://schemas.microsoft.com/office/drawing/2014/main" id="{00000000-0008-0000-0500-0000A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12</xdr:row>
          <xdr:rowOff>12700</xdr:rowOff>
        </xdr:from>
        <xdr:to>
          <xdr:col>4</xdr:col>
          <xdr:colOff>736600</xdr:colOff>
          <xdr:row>13</xdr:row>
          <xdr:rowOff>44450</xdr:rowOff>
        </xdr:to>
        <xdr:sp macro="" textlink="">
          <xdr:nvSpPr>
            <xdr:cNvPr id="46254" name="Check Box 174" hidden="1">
              <a:extLst>
                <a:ext uri="{63B3BB69-23CF-44E3-9099-C40C66FF867C}">
                  <a14:compatExt spid="_x0000_s46254"/>
                </a:ext>
                <a:ext uri="{FF2B5EF4-FFF2-40B4-BE49-F238E27FC236}">
                  <a16:creationId xmlns:a16="http://schemas.microsoft.com/office/drawing/2014/main" id="{00000000-0008-0000-0500-0000A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13</xdr:row>
          <xdr:rowOff>12700</xdr:rowOff>
        </xdr:from>
        <xdr:to>
          <xdr:col>4</xdr:col>
          <xdr:colOff>736600</xdr:colOff>
          <xdr:row>14</xdr:row>
          <xdr:rowOff>44450</xdr:rowOff>
        </xdr:to>
        <xdr:sp macro="" textlink="">
          <xdr:nvSpPr>
            <xdr:cNvPr id="46255" name="Check Box 175" hidden="1">
              <a:extLst>
                <a:ext uri="{63B3BB69-23CF-44E3-9099-C40C66FF867C}">
                  <a14:compatExt spid="_x0000_s46255"/>
                </a:ext>
                <a:ext uri="{FF2B5EF4-FFF2-40B4-BE49-F238E27FC236}">
                  <a16:creationId xmlns:a16="http://schemas.microsoft.com/office/drawing/2014/main" id="{00000000-0008-0000-0500-0000A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14</xdr:row>
          <xdr:rowOff>12700</xdr:rowOff>
        </xdr:from>
        <xdr:to>
          <xdr:col>4</xdr:col>
          <xdr:colOff>736600</xdr:colOff>
          <xdr:row>15</xdr:row>
          <xdr:rowOff>44450</xdr:rowOff>
        </xdr:to>
        <xdr:sp macro="" textlink="">
          <xdr:nvSpPr>
            <xdr:cNvPr id="46256" name="Check Box 176" hidden="1">
              <a:extLst>
                <a:ext uri="{63B3BB69-23CF-44E3-9099-C40C66FF867C}">
                  <a14:compatExt spid="_x0000_s46256"/>
                </a:ext>
                <a:ext uri="{FF2B5EF4-FFF2-40B4-BE49-F238E27FC236}">
                  <a16:creationId xmlns:a16="http://schemas.microsoft.com/office/drawing/2014/main" id="{00000000-0008-0000-0500-0000B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15</xdr:row>
          <xdr:rowOff>12700</xdr:rowOff>
        </xdr:from>
        <xdr:to>
          <xdr:col>4</xdr:col>
          <xdr:colOff>736600</xdr:colOff>
          <xdr:row>16</xdr:row>
          <xdr:rowOff>44450</xdr:rowOff>
        </xdr:to>
        <xdr:sp macro="" textlink="">
          <xdr:nvSpPr>
            <xdr:cNvPr id="46257" name="Check Box 177" hidden="1">
              <a:extLst>
                <a:ext uri="{63B3BB69-23CF-44E3-9099-C40C66FF867C}">
                  <a14:compatExt spid="_x0000_s46257"/>
                </a:ext>
                <a:ext uri="{FF2B5EF4-FFF2-40B4-BE49-F238E27FC236}">
                  <a16:creationId xmlns:a16="http://schemas.microsoft.com/office/drawing/2014/main" id="{00000000-0008-0000-0500-0000B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16</xdr:row>
          <xdr:rowOff>12700</xdr:rowOff>
        </xdr:from>
        <xdr:to>
          <xdr:col>4</xdr:col>
          <xdr:colOff>736600</xdr:colOff>
          <xdr:row>17</xdr:row>
          <xdr:rowOff>44450</xdr:rowOff>
        </xdr:to>
        <xdr:sp macro="" textlink="">
          <xdr:nvSpPr>
            <xdr:cNvPr id="46258" name="Check Box 178" hidden="1">
              <a:extLst>
                <a:ext uri="{63B3BB69-23CF-44E3-9099-C40C66FF867C}">
                  <a14:compatExt spid="_x0000_s46258"/>
                </a:ext>
                <a:ext uri="{FF2B5EF4-FFF2-40B4-BE49-F238E27FC236}">
                  <a16:creationId xmlns:a16="http://schemas.microsoft.com/office/drawing/2014/main" id="{00000000-0008-0000-0500-0000B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34637</xdr:colOff>
      <xdr:row>20</xdr:row>
      <xdr:rowOff>23091</xdr:rowOff>
    </xdr:from>
    <xdr:to>
      <xdr:col>41</xdr:col>
      <xdr:colOff>373496</xdr:colOff>
      <xdr:row>73</xdr:row>
      <xdr:rowOff>159327</xdr:rowOff>
    </xdr:to>
    <xdr:pic>
      <xdr:nvPicPr>
        <xdr:cNvPr id="22" name="Picture 21">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65819" y="8855364"/>
          <a:ext cx="21951950" cy="15249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10</xdr:row>
          <xdr:rowOff>12700</xdr:rowOff>
        </xdr:from>
        <xdr:to>
          <xdr:col>2</xdr:col>
          <xdr:colOff>736600</xdr:colOff>
          <xdr:row>11</xdr:row>
          <xdr:rowOff>44450</xdr:rowOff>
        </xdr:to>
        <xdr:sp macro="" textlink="">
          <xdr:nvSpPr>
            <xdr:cNvPr id="46404" name="Check Box 324" hidden="1">
              <a:extLst>
                <a:ext uri="{63B3BB69-23CF-44E3-9099-C40C66FF867C}">
                  <a14:compatExt spid="_x0000_s46404"/>
                </a:ext>
                <a:ext uri="{FF2B5EF4-FFF2-40B4-BE49-F238E27FC236}">
                  <a16:creationId xmlns:a16="http://schemas.microsoft.com/office/drawing/2014/main" id="{00000000-0008-0000-0500-000044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11</xdr:row>
          <xdr:rowOff>12700</xdr:rowOff>
        </xdr:from>
        <xdr:to>
          <xdr:col>2</xdr:col>
          <xdr:colOff>736600</xdr:colOff>
          <xdr:row>12</xdr:row>
          <xdr:rowOff>44450</xdr:rowOff>
        </xdr:to>
        <xdr:sp macro="" textlink="">
          <xdr:nvSpPr>
            <xdr:cNvPr id="46405" name="Check Box 325" hidden="1">
              <a:extLst>
                <a:ext uri="{63B3BB69-23CF-44E3-9099-C40C66FF867C}">
                  <a14:compatExt spid="_x0000_s46405"/>
                </a:ext>
                <a:ext uri="{FF2B5EF4-FFF2-40B4-BE49-F238E27FC236}">
                  <a16:creationId xmlns:a16="http://schemas.microsoft.com/office/drawing/2014/main" id="{00000000-0008-0000-0500-000045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12</xdr:row>
          <xdr:rowOff>12700</xdr:rowOff>
        </xdr:from>
        <xdr:to>
          <xdr:col>2</xdr:col>
          <xdr:colOff>736600</xdr:colOff>
          <xdr:row>13</xdr:row>
          <xdr:rowOff>44450</xdr:rowOff>
        </xdr:to>
        <xdr:sp macro="" textlink="">
          <xdr:nvSpPr>
            <xdr:cNvPr id="46406" name="Check Box 326" hidden="1">
              <a:extLst>
                <a:ext uri="{63B3BB69-23CF-44E3-9099-C40C66FF867C}">
                  <a14:compatExt spid="_x0000_s46406"/>
                </a:ext>
                <a:ext uri="{FF2B5EF4-FFF2-40B4-BE49-F238E27FC236}">
                  <a16:creationId xmlns:a16="http://schemas.microsoft.com/office/drawing/2014/main" id="{00000000-0008-0000-0500-000046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13</xdr:row>
          <xdr:rowOff>12700</xdr:rowOff>
        </xdr:from>
        <xdr:to>
          <xdr:col>2</xdr:col>
          <xdr:colOff>736600</xdr:colOff>
          <xdr:row>14</xdr:row>
          <xdr:rowOff>44450</xdr:rowOff>
        </xdr:to>
        <xdr:sp macro="" textlink="">
          <xdr:nvSpPr>
            <xdr:cNvPr id="46407" name="Check Box 327" hidden="1">
              <a:extLst>
                <a:ext uri="{63B3BB69-23CF-44E3-9099-C40C66FF867C}">
                  <a14:compatExt spid="_x0000_s46407"/>
                </a:ext>
                <a:ext uri="{FF2B5EF4-FFF2-40B4-BE49-F238E27FC236}">
                  <a16:creationId xmlns:a16="http://schemas.microsoft.com/office/drawing/2014/main" id="{00000000-0008-0000-0500-000047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14</xdr:row>
          <xdr:rowOff>12700</xdr:rowOff>
        </xdr:from>
        <xdr:to>
          <xdr:col>2</xdr:col>
          <xdr:colOff>736600</xdr:colOff>
          <xdr:row>15</xdr:row>
          <xdr:rowOff>44450</xdr:rowOff>
        </xdr:to>
        <xdr:sp macro="" textlink="">
          <xdr:nvSpPr>
            <xdr:cNvPr id="46408" name="Check Box 328" hidden="1">
              <a:extLst>
                <a:ext uri="{63B3BB69-23CF-44E3-9099-C40C66FF867C}">
                  <a14:compatExt spid="_x0000_s46408"/>
                </a:ext>
                <a:ext uri="{FF2B5EF4-FFF2-40B4-BE49-F238E27FC236}">
                  <a16:creationId xmlns:a16="http://schemas.microsoft.com/office/drawing/2014/main" id="{00000000-0008-0000-0500-000048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15</xdr:row>
          <xdr:rowOff>12700</xdr:rowOff>
        </xdr:from>
        <xdr:to>
          <xdr:col>2</xdr:col>
          <xdr:colOff>736600</xdr:colOff>
          <xdr:row>16</xdr:row>
          <xdr:rowOff>44450</xdr:rowOff>
        </xdr:to>
        <xdr:sp macro="" textlink="">
          <xdr:nvSpPr>
            <xdr:cNvPr id="46409" name="Check Box 329" hidden="1">
              <a:extLst>
                <a:ext uri="{63B3BB69-23CF-44E3-9099-C40C66FF867C}">
                  <a14:compatExt spid="_x0000_s46409"/>
                </a:ext>
                <a:ext uri="{FF2B5EF4-FFF2-40B4-BE49-F238E27FC236}">
                  <a16:creationId xmlns:a16="http://schemas.microsoft.com/office/drawing/2014/main" id="{00000000-0008-0000-0500-000049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16</xdr:row>
          <xdr:rowOff>12700</xdr:rowOff>
        </xdr:from>
        <xdr:to>
          <xdr:col>2</xdr:col>
          <xdr:colOff>736600</xdr:colOff>
          <xdr:row>17</xdr:row>
          <xdr:rowOff>44450</xdr:rowOff>
        </xdr:to>
        <xdr:sp macro="" textlink="">
          <xdr:nvSpPr>
            <xdr:cNvPr id="46410" name="Check Box 330" hidden="1">
              <a:extLst>
                <a:ext uri="{63B3BB69-23CF-44E3-9099-C40C66FF867C}">
                  <a14:compatExt spid="_x0000_s46410"/>
                </a:ext>
                <a:ext uri="{FF2B5EF4-FFF2-40B4-BE49-F238E27FC236}">
                  <a16:creationId xmlns:a16="http://schemas.microsoft.com/office/drawing/2014/main" id="{00000000-0008-0000-0500-00004A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9</xdr:row>
          <xdr:rowOff>12700</xdr:rowOff>
        </xdr:from>
        <xdr:to>
          <xdr:col>2</xdr:col>
          <xdr:colOff>736600</xdr:colOff>
          <xdr:row>10</xdr:row>
          <xdr:rowOff>44450</xdr:rowOff>
        </xdr:to>
        <xdr:sp macro="" textlink="">
          <xdr:nvSpPr>
            <xdr:cNvPr id="46403" name="Check Box 323" hidden="1">
              <a:extLst>
                <a:ext uri="{63B3BB69-23CF-44E3-9099-C40C66FF867C}">
                  <a14:compatExt spid="_x0000_s46403"/>
                </a:ext>
                <a:ext uri="{FF2B5EF4-FFF2-40B4-BE49-F238E27FC236}">
                  <a16:creationId xmlns:a16="http://schemas.microsoft.com/office/drawing/2014/main" id="{00000000-0008-0000-0500-000043B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11</xdr:col>
      <xdr:colOff>353785</xdr:colOff>
      <xdr:row>11</xdr:row>
      <xdr:rowOff>0</xdr:rowOff>
    </xdr:from>
    <xdr:to>
      <xdr:col>19</xdr:col>
      <xdr:colOff>54429</xdr:colOff>
      <xdr:row>22</xdr:row>
      <xdr:rowOff>154215</xdr:rowOff>
    </xdr:to>
    <xdr:graphicFrame macro="">
      <xdr:nvGraphicFramePr>
        <xdr:cNvPr id="2" name="Chart 39">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18142</xdr:colOff>
      <xdr:row>17</xdr:row>
      <xdr:rowOff>145144</xdr:rowOff>
    </xdr:from>
    <xdr:to>
      <xdr:col>35</xdr:col>
      <xdr:colOff>19050</xdr:colOff>
      <xdr:row>28</xdr:row>
      <xdr:rowOff>9073</xdr:rowOff>
    </xdr:to>
    <xdr:graphicFrame macro="">
      <xdr:nvGraphicFramePr>
        <xdr:cNvPr id="3" name="Chart 1">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20</xdr:col>
      <xdr:colOff>589642</xdr:colOff>
      <xdr:row>17</xdr:row>
      <xdr:rowOff>127001</xdr:rowOff>
    </xdr:from>
    <xdr:to>
      <xdr:col>27</xdr:col>
      <xdr:colOff>400956</xdr:colOff>
      <xdr:row>30</xdr:row>
      <xdr:rowOff>28122</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890499" y="4327072"/>
          <a:ext cx="4065814" cy="2522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27215</xdr:colOff>
      <xdr:row>2</xdr:row>
      <xdr:rowOff>163285</xdr:rowOff>
    </xdr:from>
    <xdr:to>
      <xdr:col>29</xdr:col>
      <xdr:colOff>190500</xdr:colOff>
      <xdr:row>9</xdr:row>
      <xdr:rowOff>15387</xdr:rowOff>
    </xdr:to>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935858" y="344714"/>
          <a:ext cx="5025571" cy="276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115</xdr:col>
      <xdr:colOff>71313</xdr:colOff>
      <xdr:row>41</xdr:row>
      <xdr:rowOff>34637</xdr:rowOff>
    </xdr:from>
    <xdr:to>
      <xdr:col>129</xdr:col>
      <xdr:colOff>0</xdr:colOff>
      <xdr:row>72</xdr:row>
      <xdr:rowOff>0</xdr:rowOff>
    </xdr:to>
    <xdr:graphicFrame macro="">
      <xdr:nvGraphicFramePr>
        <xdr:cNvPr id="16" name="Chart 15">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176069</xdr:colOff>
      <xdr:row>14</xdr:row>
      <xdr:rowOff>40411</xdr:rowOff>
    </xdr:from>
    <xdr:to>
      <xdr:col>21</xdr:col>
      <xdr:colOff>233796</xdr:colOff>
      <xdr:row>41</xdr:row>
      <xdr:rowOff>50512</xdr:rowOff>
    </xdr:to>
    <xdr:grpSp>
      <xdr:nvGrpSpPr>
        <xdr:cNvPr id="19" name="Group 18">
          <a:extLst>
            <a:ext uri="{FF2B5EF4-FFF2-40B4-BE49-F238E27FC236}">
              <a16:creationId xmlns:a16="http://schemas.microsoft.com/office/drawing/2014/main" id="{00000000-0008-0000-0700-000013000000}"/>
            </a:ext>
          </a:extLst>
        </xdr:cNvPr>
        <xdr:cNvGrpSpPr/>
      </xdr:nvGrpSpPr>
      <xdr:grpSpPr>
        <a:xfrm>
          <a:off x="7299614" y="4473866"/>
          <a:ext cx="6707909" cy="5632737"/>
          <a:chOff x="7442842" y="1549083"/>
          <a:chExt cx="6690446" cy="6011687"/>
        </a:xfrm>
      </xdr:grpSpPr>
      <xdr:grpSp>
        <xdr:nvGrpSpPr>
          <xdr:cNvPr id="20" name="Group 19">
            <a:extLst>
              <a:ext uri="{FF2B5EF4-FFF2-40B4-BE49-F238E27FC236}">
                <a16:creationId xmlns:a16="http://schemas.microsoft.com/office/drawing/2014/main" id="{00000000-0008-0000-0700-000014000000}"/>
              </a:ext>
            </a:extLst>
          </xdr:cNvPr>
          <xdr:cNvGrpSpPr/>
        </xdr:nvGrpSpPr>
        <xdr:grpSpPr>
          <a:xfrm>
            <a:off x="7442842" y="1549083"/>
            <a:ext cx="6690446" cy="6011687"/>
            <a:chOff x="9806215" y="1187485"/>
            <a:chExt cx="6658429" cy="4936132"/>
          </a:xfrm>
        </xdr:grpSpPr>
        <mc:AlternateContent xmlns:mc="http://schemas.openxmlformats.org/markup-compatibility/2006">
          <mc:Choice xmlns:cx1="http://schemas.microsoft.com/office/drawing/2015/9/8/chartex" Requires="cx1">
            <xdr:graphicFrame macro="">
              <xdr:nvGraphicFramePr>
                <xdr:cNvPr id="24" name="Chart 23">
                  <a:extLst>
                    <a:ext uri="{FF2B5EF4-FFF2-40B4-BE49-F238E27FC236}">
                      <a16:creationId xmlns:a16="http://schemas.microsoft.com/office/drawing/2014/main" id="{00000000-0008-0000-0700-000018000000}"/>
                    </a:ext>
                  </a:extLst>
                </xdr:cNvPr>
                <xdr:cNvGraphicFramePr/>
              </xdr:nvGraphicFramePr>
              <xdr:xfrm>
                <a:off x="9806215" y="1187485"/>
                <a:ext cx="6658429" cy="4936132"/>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9806215" y="1187485"/>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25" name="Straight Connector 24">
              <a:extLst>
                <a:ext uri="{FF2B5EF4-FFF2-40B4-BE49-F238E27FC236}">
                  <a16:creationId xmlns:a16="http://schemas.microsoft.com/office/drawing/2014/main" id="{00000000-0008-0000-0700-000019000000}"/>
                </a:ext>
              </a:extLst>
            </xdr:cNvPr>
            <xdr:cNvCxnSpPr/>
          </xdr:nvCxnSpPr>
          <xdr:spPr>
            <a:xfrm>
              <a:off x="10176263" y="3481489"/>
              <a:ext cx="6204857" cy="9071"/>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26" name="Rectangle 25">
              <a:extLst>
                <a:ext uri="{FF2B5EF4-FFF2-40B4-BE49-F238E27FC236}">
                  <a16:creationId xmlns:a16="http://schemas.microsoft.com/office/drawing/2014/main" id="{00000000-0008-0000-0700-00001A000000}"/>
                </a:ext>
              </a:extLst>
            </xdr:cNvPr>
            <xdr:cNvSpPr/>
          </xdr:nvSpPr>
          <xdr:spPr>
            <a:xfrm>
              <a:off x="10522856" y="3274223"/>
              <a:ext cx="2149930" cy="1632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2030 'Fit for 55' target (55% reduction on 1990 levels)</a:t>
              </a:r>
            </a:p>
          </xdr:txBody>
        </xdr:sp>
      </xdr:grpSp>
      <xdr:sp macro="" textlink="">
        <xdr:nvSpPr>
          <xdr:cNvPr id="21" name="Rectangle 20">
            <a:extLst>
              <a:ext uri="{FF2B5EF4-FFF2-40B4-BE49-F238E27FC236}">
                <a16:creationId xmlns:a16="http://schemas.microsoft.com/office/drawing/2014/main" id="{00000000-0008-0000-0700-000015000000}"/>
              </a:ext>
            </a:extLst>
          </xdr:cNvPr>
          <xdr:cNvSpPr/>
        </xdr:nvSpPr>
        <xdr:spPr>
          <a:xfrm>
            <a:off x="9570830" y="1879115"/>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22" name="Rectangle 21">
            <a:extLst>
              <a:ext uri="{FF2B5EF4-FFF2-40B4-BE49-F238E27FC236}">
                <a16:creationId xmlns:a16="http://schemas.microsoft.com/office/drawing/2014/main" id="{00000000-0008-0000-0700-000016000000}"/>
              </a:ext>
            </a:extLst>
          </xdr:cNvPr>
          <xdr:cNvSpPr/>
        </xdr:nvSpPr>
        <xdr:spPr>
          <a:xfrm>
            <a:off x="11650349" y="1861826"/>
            <a:ext cx="878262" cy="175355"/>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23" name="Rectangle 22">
            <a:extLst>
              <a:ext uri="{FF2B5EF4-FFF2-40B4-BE49-F238E27FC236}">
                <a16:creationId xmlns:a16="http://schemas.microsoft.com/office/drawing/2014/main" id="{00000000-0008-0000-0700-000017000000}"/>
              </a:ext>
            </a:extLst>
          </xdr:cNvPr>
          <xdr:cNvSpPr/>
        </xdr:nvSpPr>
        <xdr:spPr>
          <a:xfrm>
            <a:off x="13125851" y="1858629"/>
            <a:ext cx="868709" cy="173673"/>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xdr:twoCellAnchor>
    <xdr:from>
      <xdr:col>22</xdr:col>
      <xdr:colOff>186168</xdr:colOff>
      <xdr:row>13</xdr:row>
      <xdr:rowOff>157306</xdr:rowOff>
    </xdr:from>
    <xdr:to>
      <xdr:col>32</xdr:col>
      <xdr:colOff>86591</xdr:colOff>
      <xdr:row>40</xdr:row>
      <xdr:rowOff>89477</xdr:rowOff>
    </xdr:to>
    <xdr:grpSp>
      <xdr:nvGrpSpPr>
        <xdr:cNvPr id="29" name="Group 28">
          <a:extLst>
            <a:ext uri="{FF2B5EF4-FFF2-40B4-BE49-F238E27FC236}">
              <a16:creationId xmlns:a16="http://schemas.microsoft.com/office/drawing/2014/main" id="{00000000-0008-0000-0700-00001D000000}"/>
            </a:ext>
          </a:extLst>
        </xdr:cNvPr>
        <xdr:cNvGrpSpPr/>
      </xdr:nvGrpSpPr>
      <xdr:grpSpPr>
        <a:xfrm>
          <a:off x="14571804" y="4406033"/>
          <a:ext cx="6319696" cy="5554808"/>
          <a:chOff x="7442841" y="1549082"/>
          <a:chExt cx="6690446" cy="6011687"/>
        </a:xfrm>
      </xdr:grpSpPr>
      <xdr:grpSp>
        <xdr:nvGrpSpPr>
          <xdr:cNvPr id="30" name="Group 29">
            <a:extLst>
              <a:ext uri="{FF2B5EF4-FFF2-40B4-BE49-F238E27FC236}">
                <a16:creationId xmlns:a16="http://schemas.microsoft.com/office/drawing/2014/main" id="{00000000-0008-0000-0700-00001E000000}"/>
              </a:ext>
            </a:extLst>
          </xdr:cNvPr>
          <xdr:cNvGrpSpPr/>
        </xdr:nvGrpSpPr>
        <xdr:grpSpPr>
          <a:xfrm>
            <a:off x="7442841" y="1549082"/>
            <a:ext cx="6690446" cy="6011687"/>
            <a:chOff x="9806214" y="1187484"/>
            <a:chExt cx="6658429" cy="4936132"/>
          </a:xfrm>
        </xdr:grpSpPr>
        <mc:AlternateContent xmlns:mc="http://schemas.openxmlformats.org/markup-compatibility/2006">
          <mc:Choice xmlns:cx1="http://schemas.microsoft.com/office/drawing/2015/9/8/chartex" Requires="cx1">
            <xdr:graphicFrame macro="">
              <xdr:nvGraphicFramePr>
                <xdr:cNvPr id="34" name="Chart 33">
                  <a:extLst>
                    <a:ext uri="{FF2B5EF4-FFF2-40B4-BE49-F238E27FC236}">
                      <a16:creationId xmlns:a16="http://schemas.microsoft.com/office/drawing/2014/main" id="{00000000-0008-0000-0700-000022000000}"/>
                    </a:ext>
                  </a:extLst>
                </xdr:cNvPr>
                <xdr:cNvGraphicFramePr>
                  <a:graphicFrameLocks noChangeAspect="1"/>
                </xdr:cNvGraphicFramePr>
              </xdr:nvGraphicFramePr>
              <xdr:xfrm>
                <a:off x="9806214" y="1187484"/>
                <a:ext cx="6658429" cy="4936132"/>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9806214" y="1187484"/>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37" name="Straight Connector 36">
              <a:extLst>
                <a:ext uri="{FF2B5EF4-FFF2-40B4-BE49-F238E27FC236}">
                  <a16:creationId xmlns:a16="http://schemas.microsoft.com/office/drawing/2014/main" id="{00000000-0008-0000-0700-000025000000}"/>
                </a:ext>
              </a:extLst>
            </xdr:cNvPr>
            <xdr:cNvCxnSpPr/>
          </xdr:nvCxnSpPr>
          <xdr:spPr>
            <a:xfrm flipV="1">
              <a:off x="10240165" y="4399062"/>
              <a:ext cx="6152513" cy="439"/>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38" name="Rectangle 37">
              <a:extLst>
                <a:ext uri="{FF2B5EF4-FFF2-40B4-BE49-F238E27FC236}">
                  <a16:creationId xmlns:a16="http://schemas.microsoft.com/office/drawing/2014/main" id="{00000000-0008-0000-0700-000026000000}"/>
                </a:ext>
              </a:extLst>
            </xdr:cNvPr>
            <xdr:cNvSpPr/>
          </xdr:nvSpPr>
          <xdr:spPr>
            <a:xfrm>
              <a:off x="10550675" y="4211448"/>
              <a:ext cx="2233388" cy="1378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2050 'Green Deal' target (90% reduction on 1990 levels)</a:t>
              </a:r>
            </a:p>
          </xdr:txBody>
        </xdr:sp>
      </xdr:grpSp>
      <xdr:sp macro="" textlink="">
        <xdr:nvSpPr>
          <xdr:cNvPr id="31" name="Rectangle 30">
            <a:extLst>
              <a:ext uri="{FF2B5EF4-FFF2-40B4-BE49-F238E27FC236}">
                <a16:creationId xmlns:a16="http://schemas.microsoft.com/office/drawing/2014/main" id="{00000000-0008-0000-0700-00001F000000}"/>
              </a:ext>
            </a:extLst>
          </xdr:cNvPr>
          <xdr:cNvSpPr/>
        </xdr:nvSpPr>
        <xdr:spPr>
          <a:xfrm>
            <a:off x="9484332" y="1879114"/>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32" name="Rectangle 31">
            <a:extLst>
              <a:ext uri="{FF2B5EF4-FFF2-40B4-BE49-F238E27FC236}">
                <a16:creationId xmlns:a16="http://schemas.microsoft.com/office/drawing/2014/main" id="{00000000-0008-0000-0700-000020000000}"/>
              </a:ext>
            </a:extLst>
          </xdr:cNvPr>
          <xdr:cNvSpPr/>
        </xdr:nvSpPr>
        <xdr:spPr>
          <a:xfrm>
            <a:off x="11618178" y="1886527"/>
            <a:ext cx="878262" cy="175356"/>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33" name="Rectangle 32">
            <a:extLst>
              <a:ext uri="{FF2B5EF4-FFF2-40B4-BE49-F238E27FC236}">
                <a16:creationId xmlns:a16="http://schemas.microsoft.com/office/drawing/2014/main" id="{00000000-0008-0000-0700-000021000000}"/>
              </a:ext>
            </a:extLst>
          </xdr:cNvPr>
          <xdr:cNvSpPr/>
        </xdr:nvSpPr>
        <xdr:spPr>
          <a:xfrm>
            <a:off x="13091210" y="1883173"/>
            <a:ext cx="891955" cy="188121"/>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xdr:twoCellAnchor>
    <xdr:from>
      <xdr:col>154</xdr:col>
      <xdr:colOff>199160</xdr:colOff>
      <xdr:row>42</xdr:row>
      <xdr:rowOff>125557</xdr:rowOff>
    </xdr:from>
    <xdr:to>
      <xdr:col>165</xdr:col>
      <xdr:colOff>542637</xdr:colOff>
      <xdr:row>78</xdr:row>
      <xdr:rowOff>34636</xdr:rowOff>
    </xdr:to>
    <xdr:graphicFrame macro="">
      <xdr:nvGraphicFramePr>
        <xdr:cNvPr id="40" name="Chart 39">
          <a:extLst>
            <a:ext uri="{FF2B5EF4-FFF2-40B4-BE49-F238E27FC236}">
              <a16:creationId xmlns:a16="http://schemas.microsoft.com/office/drawing/2014/main" id="{00000000-0008-0000-07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199</xdr:col>
      <xdr:colOff>79374</xdr:colOff>
      <xdr:row>42</xdr:row>
      <xdr:rowOff>15874</xdr:rowOff>
    </xdr:from>
    <xdr:to>
      <xdr:col>212</xdr:col>
      <xdr:colOff>0</xdr:colOff>
      <xdr:row>78</xdr:row>
      <xdr:rowOff>0</xdr:rowOff>
    </xdr:to>
    <xdr:graphicFrame macro="">
      <xdr:nvGraphicFramePr>
        <xdr:cNvPr id="42" name="Chart 41">
          <a:extLst>
            <a:ext uri="{FF2B5EF4-FFF2-40B4-BE49-F238E27FC236}">
              <a16:creationId xmlns:a16="http://schemas.microsoft.com/office/drawing/2014/main" id="{00000000-0008-0000-07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214</xdr:col>
      <xdr:colOff>95249</xdr:colOff>
      <xdr:row>42</xdr:row>
      <xdr:rowOff>63500</xdr:rowOff>
    </xdr:from>
    <xdr:to>
      <xdr:col>227</xdr:col>
      <xdr:colOff>0</xdr:colOff>
      <xdr:row>78</xdr:row>
      <xdr:rowOff>-1</xdr:rowOff>
    </xdr:to>
    <xdr:graphicFrame macro="">
      <xdr:nvGraphicFramePr>
        <xdr:cNvPr id="43" name="Chart 42">
          <a:extLst>
            <a:ext uri="{FF2B5EF4-FFF2-40B4-BE49-F238E27FC236}">
              <a16:creationId xmlns:a16="http://schemas.microsoft.com/office/drawing/2014/main" id="{00000000-0008-0000-07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229</xdr:col>
      <xdr:colOff>31749</xdr:colOff>
      <xdr:row>42</xdr:row>
      <xdr:rowOff>31749</xdr:rowOff>
    </xdr:from>
    <xdr:to>
      <xdr:col>242</xdr:col>
      <xdr:colOff>0</xdr:colOff>
      <xdr:row>78</xdr:row>
      <xdr:rowOff>-1</xdr:rowOff>
    </xdr:to>
    <xdr:graphicFrame macro="">
      <xdr:nvGraphicFramePr>
        <xdr:cNvPr id="44" name="Chart 43">
          <a:extLst>
            <a:ext uri="{FF2B5EF4-FFF2-40B4-BE49-F238E27FC236}">
              <a16:creationId xmlns:a16="http://schemas.microsoft.com/office/drawing/2014/main" id="{00000000-0008-0000-07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244</xdr:col>
      <xdr:colOff>47624</xdr:colOff>
      <xdr:row>42</xdr:row>
      <xdr:rowOff>47625</xdr:rowOff>
    </xdr:from>
    <xdr:to>
      <xdr:col>257</xdr:col>
      <xdr:colOff>-1</xdr:colOff>
      <xdr:row>78</xdr:row>
      <xdr:rowOff>0</xdr:rowOff>
    </xdr:to>
    <xdr:graphicFrame macro="">
      <xdr:nvGraphicFramePr>
        <xdr:cNvPr id="45" name="Chart 44">
          <a:extLst>
            <a:ext uri="{FF2B5EF4-FFF2-40B4-BE49-F238E27FC236}">
              <a16:creationId xmlns:a16="http://schemas.microsoft.com/office/drawing/2014/main" id="{00000000-0008-0000-07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169</xdr:col>
      <xdr:colOff>31750</xdr:colOff>
      <xdr:row>41</xdr:row>
      <xdr:rowOff>47625</xdr:rowOff>
    </xdr:from>
    <xdr:to>
      <xdr:col>182</xdr:col>
      <xdr:colOff>0</xdr:colOff>
      <xdr:row>77</xdr:row>
      <xdr:rowOff>0</xdr:rowOff>
    </xdr:to>
    <xdr:graphicFrame macro="">
      <xdr:nvGraphicFramePr>
        <xdr:cNvPr id="46" name="Chart 45">
          <a:extLst>
            <a:ext uri="{FF2B5EF4-FFF2-40B4-BE49-F238E27FC236}">
              <a16:creationId xmlns:a16="http://schemas.microsoft.com/office/drawing/2014/main" id="{00000000-0008-0000-07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184</xdr:col>
      <xdr:colOff>0</xdr:colOff>
      <xdr:row>41</xdr:row>
      <xdr:rowOff>15875</xdr:rowOff>
    </xdr:from>
    <xdr:to>
      <xdr:col>197</xdr:col>
      <xdr:colOff>0</xdr:colOff>
      <xdr:row>77</xdr:row>
      <xdr:rowOff>0</xdr:rowOff>
    </xdr:to>
    <xdr:graphicFrame macro="">
      <xdr:nvGraphicFramePr>
        <xdr:cNvPr id="47" name="Chart 46">
          <a:extLst>
            <a:ext uri="{FF2B5EF4-FFF2-40B4-BE49-F238E27FC236}">
              <a16:creationId xmlns:a16="http://schemas.microsoft.com/office/drawing/2014/main" id="{00000000-0008-0000-07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282</xdr:col>
      <xdr:colOff>421410</xdr:colOff>
      <xdr:row>6</xdr:row>
      <xdr:rowOff>34635</xdr:rowOff>
    </xdr:from>
    <xdr:to>
      <xdr:col>297</xdr:col>
      <xdr:colOff>548410</xdr:colOff>
      <xdr:row>36</xdr:row>
      <xdr:rowOff>92363</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154</xdr:col>
      <xdr:colOff>0</xdr:colOff>
      <xdr:row>81</xdr:row>
      <xdr:rowOff>0</xdr:rowOff>
    </xdr:from>
    <xdr:to>
      <xdr:col>165</xdr:col>
      <xdr:colOff>343477</xdr:colOff>
      <xdr:row>120</xdr:row>
      <xdr:rowOff>31750</xdr:rowOff>
    </xdr:to>
    <xdr:graphicFrame macro="">
      <xdr:nvGraphicFramePr>
        <xdr:cNvPr id="39" name="Chart 38">
          <a:extLst>
            <a:ext uri="{FF2B5EF4-FFF2-40B4-BE49-F238E27FC236}">
              <a16:creationId xmlns:a16="http://schemas.microsoft.com/office/drawing/2014/main" id="{00000000-0008-0000-07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115</xdr:col>
      <xdr:colOff>71313</xdr:colOff>
      <xdr:row>41</xdr:row>
      <xdr:rowOff>34637</xdr:rowOff>
    </xdr:from>
    <xdr:to>
      <xdr:col>129</xdr:col>
      <xdr:colOff>0</xdr:colOff>
      <xdr:row>72</xdr:row>
      <xdr:rowOff>0</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207819</xdr:colOff>
      <xdr:row>18</xdr:row>
      <xdr:rowOff>24536</xdr:rowOff>
    </xdr:from>
    <xdr:to>
      <xdr:col>21</xdr:col>
      <xdr:colOff>265546</xdr:colOff>
      <xdr:row>45</xdr:row>
      <xdr:rowOff>161637</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7827819" y="5866536"/>
          <a:ext cx="6788727" cy="5725101"/>
          <a:chOff x="7442842" y="1549083"/>
          <a:chExt cx="6690446" cy="6011687"/>
        </a:xfrm>
      </xdr:grpSpPr>
      <xdr:grpSp>
        <xdr:nvGrpSpPr>
          <xdr:cNvPr id="4" name="Group 3">
            <a:extLst>
              <a:ext uri="{FF2B5EF4-FFF2-40B4-BE49-F238E27FC236}">
                <a16:creationId xmlns:a16="http://schemas.microsoft.com/office/drawing/2014/main" id="{00000000-0008-0000-0800-000004000000}"/>
              </a:ext>
            </a:extLst>
          </xdr:cNvPr>
          <xdr:cNvGrpSpPr/>
        </xdr:nvGrpSpPr>
        <xdr:grpSpPr>
          <a:xfrm>
            <a:off x="7442842" y="1549083"/>
            <a:ext cx="6690446" cy="6011687"/>
            <a:chOff x="9806215" y="1187485"/>
            <a:chExt cx="6658429" cy="4936132"/>
          </a:xfrm>
        </xdr:grpSpPr>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00000000-0008-0000-0800-000008000000}"/>
                    </a:ext>
                  </a:extLst>
                </xdr:cNvPr>
                <xdr:cNvGraphicFramePr/>
              </xdr:nvGraphicFramePr>
              <xdr:xfrm>
                <a:off x="9806215" y="1187485"/>
                <a:ext cx="6658429" cy="4936132"/>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9806215" y="1187485"/>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9" name="Straight Connector 8">
              <a:extLst>
                <a:ext uri="{FF2B5EF4-FFF2-40B4-BE49-F238E27FC236}">
                  <a16:creationId xmlns:a16="http://schemas.microsoft.com/office/drawing/2014/main" id="{00000000-0008-0000-0800-000009000000}"/>
                </a:ext>
              </a:extLst>
            </xdr:cNvPr>
            <xdr:cNvCxnSpPr/>
          </xdr:nvCxnSpPr>
          <xdr:spPr>
            <a:xfrm>
              <a:off x="10176263" y="3481489"/>
              <a:ext cx="6204857" cy="9071"/>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10" name="Rectangle 9">
              <a:extLst>
                <a:ext uri="{FF2B5EF4-FFF2-40B4-BE49-F238E27FC236}">
                  <a16:creationId xmlns:a16="http://schemas.microsoft.com/office/drawing/2014/main" id="{00000000-0008-0000-0800-00000A000000}"/>
                </a:ext>
              </a:extLst>
            </xdr:cNvPr>
            <xdr:cNvSpPr/>
          </xdr:nvSpPr>
          <xdr:spPr>
            <a:xfrm>
              <a:off x="10522856" y="3274223"/>
              <a:ext cx="2149930" cy="1632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2030 'Fit for 55' target (55% reduction on 1990 levels)</a:t>
              </a:r>
            </a:p>
          </xdr:txBody>
        </xdr:sp>
      </xdr:grpSp>
      <xdr:sp macro="" textlink="">
        <xdr:nvSpPr>
          <xdr:cNvPr id="5" name="Rectangle 4">
            <a:extLst>
              <a:ext uri="{FF2B5EF4-FFF2-40B4-BE49-F238E27FC236}">
                <a16:creationId xmlns:a16="http://schemas.microsoft.com/office/drawing/2014/main" id="{00000000-0008-0000-0800-000005000000}"/>
              </a:ext>
            </a:extLst>
          </xdr:cNvPr>
          <xdr:cNvSpPr/>
        </xdr:nvSpPr>
        <xdr:spPr>
          <a:xfrm>
            <a:off x="9570830" y="1879115"/>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6" name="Rectangle 5">
            <a:extLst>
              <a:ext uri="{FF2B5EF4-FFF2-40B4-BE49-F238E27FC236}">
                <a16:creationId xmlns:a16="http://schemas.microsoft.com/office/drawing/2014/main" id="{00000000-0008-0000-0800-000006000000}"/>
              </a:ext>
            </a:extLst>
          </xdr:cNvPr>
          <xdr:cNvSpPr/>
        </xdr:nvSpPr>
        <xdr:spPr>
          <a:xfrm>
            <a:off x="11650349" y="1861826"/>
            <a:ext cx="878262" cy="175355"/>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7" name="Rectangle 6">
            <a:extLst>
              <a:ext uri="{FF2B5EF4-FFF2-40B4-BE49-F238E27FC236}">
                <a16:creationId xmlns:a16="http://schemas.microsoft.com/office/drawing/2014/main" id="{00000000-0008-0000-0800-000007000000}"/>
              </a:ext>
            </a:extLst>
          </xdr:cNvPr>
          <xdr:cNvSpPr/>
        </xdr:nvSpPr>
        <xdr:spPr>
          <a:xfrm>
            <a:off x="13125851" y="1858629"/>
            <a:ext cx="868709" cy="173673"/>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xdr:twoCellAnchor>
    <xdr:from>
      <xdr:col>22</xdr:col>
      <xdr:colOff>440168</xdr:colOff>
      <xdr:row>18</xdr:row>
      <xdr:rowOff>14431</xdr:rowOff>
    </xdr:from>
    <xdr:to>
      <xdr:col>32</xdr:col>
      <xdr:colOff>340591</xdr:colOff>
      <xdr:row>45</xdr:row>
      <xdr:rowOff>73602</xdr:rowOff>
    </xdr:to>
    <xdr:grpSp>
      <xdr:nvGrpSpPr>
        <xdr:cNvPr id="11" name="Group 10">
          <a:extLst>
            <a:ext uri="{FF2B5EF4-FFF2-40B4-BE49-F238E27FC236}">
              <a16:creationId xmlns:a16="http://schemas.microsoft.com/office/drawing/2014/main" id="{00000000-0008-0000-0800-00000B000000}"/>
            </a:ext>
          </a:extLst>
        </xdr:cNvPr>
        <xdr:cNvGrpSpPr/>
      </xdr:nvGrpSpPr>
      <xdr:grpSpPr>
        <a:xfrm>
          <a:off x="15426168" y="5856431"/>
          <a:ext cx="6504423" cy="5647171"/>
          <a:chOff x="7442841" y="1549082"/>
          <a:chExt cx="6690446" cy="6011687"/>
        </a:xfrm>
      </xdr:grpSpPr>
      <xdr:grpSp>
        <xdr:nvGrpSpPr>
          <xdr:cNvPr id="12" name="Group 11">
            <a:extLst>
              <a:ext uri="{FF2B5EF4-FFF2-40B4-BE49-F238E27FC236}">
                <a16:creationId xmlns:a16="http://schemas.microsoft.com/office/drawing/2014/main" id="{00000000-0008-0000-0800-00000C000000}"/>
              </a:ext>
            </a:extLst>
          </xdr:cNvPr>
          <xdr:cNvGrpSpPr/>
        </xdr:nvGrpSpPr>
        <xdr:grpSpPr>
          <a:xfrm>
            <a:off x="7442841" y="1549082"/>
            <a:ext cx="6690446" cy="6011687"/>
            <a:chOff x="9806214" y="1187484"/>
            <a:chExt cx="6658429" cy="4936132"/>
          </a:xfrm>
        </xdr:grpSpPr>
        <mc:AlternateContent xmlns:mc="http://schemas.openxmlformats.org/markup-compatibility/2006">
          <mc:Choice xmlns:cx1="http://schemas.microsoft.com/office/drawing/2015/9/8/chartex" Requires="cx1">
            <xdr:graphicFrame macro="">
              <xdr:nvGraphicFramePr>
                <xdr:cNvPr id="16" name="Chart 15">
                  <a:extLst>
                    <a:ext uri="{FF2B5EF4-FFF2-40B4-BE49-F238E27FC236}">
                      <a16:creationId xmlns:a16="http://schemas.microsoft.com/office/drawing/2014/main" id="{00000000-0008-0000-0800-000010000000}"/>
                    </a:ext>
                  </a:extLst>
                </xdr:cNvPr>
                <xdr:cNvGraphicFramePr>
                  <a:graphicFrameLocks noChangeAspect="1"/>
                </xdr:cNvGraphicFramePr>
              </xdr:nvGraphicFramePr>
              <xdr:xfrm>
                <a:off x="9806214" y="1187484"/>
                <a:ext cx="6658429" cy="4936132"/>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9806214" y="1187484"/>
                  <a:ext cx="6658429" cy="493613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xnSp macro="">
          <xdr:nvCxnSpPr>
            <xdr:cNvPr id="17" name="Straight Connector 16">
              <a:extLst>
                <a:ext uri="{FF2B5EF4-FFF2-40B4-BE49-F238E27FC236}">
                  <a16:creationId xmlns:a16="http://schemas.microsoft.com/office/drawing/2014/main" id="{00000000-0008-0000-0800-000011000000}"/>
                </a:ext>
              </a:extLst>
            </xdr:cNvPr>
            <xdr:cNvCxnSpPr/>
          </xdr:nvCxnSpPr>
          <xdr:spPr>
            <a:xfrm flipV="1">
              <a:off x="10240165" y="4399062"/>
              <a:ext cx="6152513" cy="439"/>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18" name="Rectangle 17">
              <a:extLst>
                <a:ext uri="{FF2B5EF4-FFF2-40B4-BE49-F238E27FC236}">
                  <a16:creationId xmlns:a16="http://schemas.microsoft.com/office/drawing/2014/main" id="{00000000-0008-0000-0800-000012000000}"/>
                </a:ext>
              </a:extLst>
            </xdr:cNvPr>
            <xdr:cNvSpPr/>
          </xdr:nvSpPr>
          <xdr:spPr>
            <a:xfrm>
              <a:off x="10550675" y="4211448"/>
              <a:ext cx="2233388" cy="1378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700">
                  <a:solidFill>
                    <a:schemeClr val="tx1"/>
                  </a:solidFill>
                </a:rPr>
                <a:t>2050 'Green Deal' target (90% reduction on 1990 levels)</a:t>
              </a:r>
            </a:p>
          </xdr:txBody>
        </xdr:sp>
      </xdr:grpSp>
      <xdr:sp macro="" textlink="">
        <xdr:nvSpPr>
          <xdr:cNvPr id="13" name="Rectangle 12">
            <a:extLst>
              <a:ext uri="{FF2B5EF4-FFF2-40B4-BE49-F238E27FC236}">
                <a16:creationId xmlns:a16="http://schemas.microsoft.com/office/drawing/2014/main" id="{00000000-0008-0000-0800-00000D000000}"/>
              </a:ext>
            </a:extLst>
          </xdr:cNvPr>
          <xdr:cNvSpPr/>
        </xdr:nvSpPr>
        <xdr:spPr>
          <a:xfrm>
            <a:off x="9484332" y="1879114"/>
            <a:ext cx="1112036" cy="17676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AVOID</a:t>
            </a:r>
          </a:p>
        </xdr:txBody>
      </xdr:sp>
      <xdr:sp macro="" textlink="">
        <xdr:nvSpPr>
          <xdr:cNvPr id="14" name="Rectangle 13">
            <a:extLst>
              <a:ext uri="{FF2B5EF4-FFF2-40B4-BE49-F238E27FC236}">
                <a16:creationId xmlns:a16="http://schemas.microsoft.com/office/drawing/2014/main" id="{00000000-0008-0000-0800-00000E000000}"/>
              </a:ext>
            </a:extLst>
          </xdr:cNvPr>
          <xdr:cNvSpPr/>
        </xdr:nvSpPr>
        <xdr:spPr>
          <a:xfrm>
            <a:off x="11618178" y="1886527"/>
            <a:ext cx="878262" cy="175356"/>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SHIFT</a:t>
            </a:r>
          </a:p>
        </xdr:txBody>
      </xdr:sp>
      <xdr:sp macro="" textlink="">
        <xdr:nvSpPr>
          <xdr:cNvPr id="15" name="Rectangle 14">
            <a:extLst>
              <a:ext uri="{FF2B5EF4-FFF2-40B4-BE49-F238E27FC236}">
                <a16:creationId xmlns:a16="http://schemas.microsoft.com/office/drawing/2014/main" id="{00000000-0008-0000-0800-00000F000000}"/>
              </a:ext>
            </a:extLst>
          </xdr:cNvPr>
          <xdr:cNvSpPr/>
        </xdr:nvSpPr>
        <xdr:spPr>
          <a:xfrm>
            <a:off x="13091210" y="1883173"/>
            <a:ext cx="891955" cy="188121"/>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lang="en-GB" sz="1000"/>
              <a:t>IMPROVE</a:t>
            </a:r>
          </a:p>
        </xdr:txBody>
      </xdr:sp>
    </xdr:grpSp>
    <xdr:clientData/>
  </xdr:twoCellAnchor>
  <xdr:twoCellAnchor>
    <xdr:from>
      <xdr:col>154</xdr:col>
      <xdr:colOff>199160</xdr:colOff>
      <xdr:row>42</xdr:row>
      <xdr:rowOff>125557</xdr:rowOff>
    </xdr:from>
    <xdr:to>
      <xdr:col>165</xdr:col>
      <xdr:colOff>542637</xdr:colOff>
      <xdr:row>78</xdr:row>
      <xdr:rowOff>34636</xdr:rowOff>
    </xdr:to>
    <xdr:graphicFrame macro="">
      <xdr:nvGraphicFramePr>
        <xdr:cNvPr id="19" name="Chart 18">
          <a:extLst>
            <a:ext uri="{FF2B5EF4-FFF2-40B4-BE49-F238E27FC236}">
              <a16:creationId xmlns:a16="http://schemas.microsoft.com/office/drawing/2014/main" id="{00000000-0008-0000-08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199</xdr:col>
      <xdr:colOff>79374</xdr:colOff>
      <xdr:row>42</xdr:row>
      <xdr:rowOff>15874</xdr:rowOff>
    </xdr:from>
    <xdr:to>
      <xdr:col>212</xdr:col>
      <xdr:colOff>0</xdr:colOff>
      <xdr:row>78</xdr:row>
      <xdr:rowOff>0</xdr:rowOff>
    </xdr:to>
    <xdr:graphicFrame macro="">
      <xdr:nvGraphicFramePr>
        <xdr:cNvPr id="20" name="Chart 19">
          <a:extLst>
            <a:ext uri="{FF2B5EF4-FFF2-40B4-BE49-F238E27FC236}">
              <a16:creationId xmlns:a16="http://schemas.microsoft.com/office/drawing/2014/main" id="{00000000-0008-0000-08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214</xdr:col>
      <xdr:colOff>95249</xdr:colOff>
      <xdr:row>42</xdr:row>
      <xdr:rowOff>63500</xdr:rowOff>
    </xdr:from>
    <xdr:to>
      <xdr:col>227</xdr:col>
      <xdr:colOff>0</xdr:colOff>
      <xdr:row>78</xdr:row>
      <xdr:rowOff>-1</xdr:rowOff>
    </xdr:to>
    <xdr:graphicFrame macro="">
      <xdr:nvGraphicFramePr>
        <xdr:cNvPr id="21" name="Chart 20">
          <a:extLst>
            <a:ext uri="{FF2B5EF4-FFF2-40B4-BE49-F238E27FC236}">
              <a16:creationId xmlns:a16="http://schemas.microsoft.com/office/drawing/2014/main" id="{00000000-0008-0000-08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229</xdr:col>
      <xdr:colOff>31749</xdr:colOff>
      <xdr:row>42</xdr:row>
      <xdr:rowOff>31749</xdr:rowOff>
    </xdr:from>
    <xdr:to>
      <xdr:col>242</xdr:col>
      <xdr:colOff>0</xdr:colOff>
      <xdr:row>78</xdr:row>
      <xdr:rowOff>-1</xdr:rowOff>
    </xdr:to>
    <xdr:graphicFrame macro="">
      <xdr:nvGraphicFramePr>
        <xdr:cNvPr id="22" name="Chart 21">
          <a:extLst>
            <a:ext uri="{FF2B5EF4-FFF2-40B4-BE49-F238E27FC236}">
              <a16:creationId xmlns:a16="http://schemas.microsoft.com/office/drawing/2014/main" id="{00000000-0008-0000-08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244</xdr:col>
      <xdr:colOff>47624</xdr:colOff>
      <xdr:row>42</xdr:row>
      <xdr:rowOff>47625</xdr:rowOff>
    </xdr:from>
    <xdr:to>
      <xdr:col>258</xdr:col>
      <xdr:colOff>-1</xdr:colOff>
      <xdr:row>78</xdr:row>
      <xdr:rowOff>0</xdr:rowOff>
    </xdr:to>
    <xdr:graphicFrame macro="">
      <xdr:nvGraphicFramePr>
        <xdr:cNvPr id="23" name="Chart 22">
          <a:extLst>
            <a:ext uri="{FF2B5EF4-FFF2-40B4-BE49-F238E27FC236}">
              <a16:creationId xmlns:a16="http://schemas.microsoft.com/office/drawing/2014/main" id="{00000000-0008-0000-08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169</xdr:col>
      <xdr:colOff>31750</xdr:colOff>
      <xdr:row>41</xdr:row>
      <xdr:rowOff>47625</xdr:rowOff>
    </xdr:from>
    <xdr:to>
      <xdr:col>182</xdr:col>
      <xdr:colOff>0</xdr:colOff>
      <xdr:row>77</xdr:row>
      <xdr:rowOff>0</xdr:rowOff>
    </xdr:to>
    <xdr:graphicFrame macro="">
      <xdr:nvGraphicFramePr>
        <xdr:cNvPr id="24" name="Chart 23">
          <a:extLst>
            <a:ext uri="{FF2B5EF4-FFF2-40B4-BE49-F238E27FC236}">
              <a16:creationId xmlns:a16="http://schemas.microsoft.com/office/drawing/2014/main" id="{00000000-0008-0000-08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184</xdr:col>
      <xdr:colOff>0</xdr:colOff>
      <xdr:row>41</xdr:row>
      <xdr:rowOff>15875</xdr:rowOff>
    </xdr:from>
    <xdr:to>
      <xdr:col>197</xdr:col>
      <xdr:colOff>0</xdr:colOff>
      <xdr:row>77</xdr:row>
      <xdr:rowOff>0</xdr:rowOff>
    </xdr:to>
    <xdr:graphicFrame macro="">
      <xdr:nvGraphicFramePr>
        <xdr:cNvPr id="25" name="Chart 24">
          <a:extLst>
            <a:ext uri="{FF2B5EF4-FFF2-40B4-BE49-F238E27FC236}">
              <a16:creationId xmlns:a16="http://schemas.microsoft.com/office/drawing/2014/main" id="{00000000-0008-0000-08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282</xdr:col>
      <xdr:colOff>8660</xdr:colOff>
      <xdr:row>5</xdr:row>
      <xdr:rowOff>717260</xdr:rowOff>
    </xdr:from>
    <xdr:to>
      <xdr:col>297</xdr:col>
      <xdr:colOff>135660</xdr:colOff>
      <xdr:row>36</xdr:row>
      <xdr:rowOff>44738</xdr:rowOff>
    </xdr:to>
    <xdr:graphicFrame macro="">
      <xdr:nvGraphicFramePr>
        <xdr:cNvPr id="26" name="Chart 25">
          <a:extLst>
            <a:ext uri="{FF2B5EF4-FFF2-40B4-BE49-F238E27FC236}">
              <a16:creationId xmlns:a16="http://schemas.microsoft.com/office/drawing/2014/main" id="{00000000-0008-0000-08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154</xdr:col>
      <xdr:colOff>0</xdr:colOff>
      <xdr:row>81</xdr:row>
      <xdr:rowOff>0</xdr:rowOff>
    </xdr:from>
    <xdr:to>
      <xdr:col>165</xdr:col>
      <xdr:colOff>343477</xdr:colOff>
      <xdr:row>120</xdr:row>
      <xdr:rowOff>31750</xdr:rowOff>
    </xdr:to>
    <xdr:graphicFrame macro="">
      <xdr:nvGraphicFramePr>
        <xdr:cNvPr id="27" name="Chart 26">
          <a:extLst>
            <a:ext uri="{FF2B5EF4-FFF2-40B4-BE49-F238E27FC236}">
              <a16:creationId xmlns:a16="http://schemas.microsoft.com/office/drawing/2014/main" id="{00000000-0008-0000-08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ve/_Internalisation/Trips%20by%20distance%20band_mode_purpose_NTS%20data%20analysis_Proportion%20of%20trips%20under%203%20mi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0"/>
      <sheetName val="Sheet1"/>
    </sheetNames>
    <sheetDataSet>
      <sheetData sheetId="0">
        <row r="243">
          <cell r="B243" t="str">
            <v>Commuter</v>
          </cell>
          <cell r="C243" t="str">
            <v>Business</v>
          </cell>
          <cell r="D243" t="str">
            <v>Education</v>
          </cell>
          <cell r="E243" t="str">
            <v>Escort Education</v>
          </cell>
          <cell r="F243" t="str">
            <v>Shopping</v>
          </cell>
          <cell r="G243" t="str">
            <v>Other Escort</v>
          </cell>
          <cell r="H243" t="str">
            <v>Personal business</v>
          </cell>
          <cell r="I243" t="str">
            <v>Visiting friends at private home</v>
          </cell>
          <cell r="J243" t="str">
            <v>Visiting friends elsewhere</v>
          </cell>
          <cell r="K243" t="str">
            <v>Entertainment / public activity</v>
          </cell>
          <cell r="L243" t="str">
            <v>Sport: participate</v>
          </cell>
        </row>
        <row r="245">
          <cell r="B245">
            <v>0.24014293370129028</v>
          </cell>
          <cell r="C245">
            <v>8.6706994610840263E-2</v>
          </cell>
          <cell r="D245">
            <v>4.3552243412319343E-2</v>
          </cell>
          <cell r="E245">
            <v>1.9545901202721306E-2</v>
          </cell>
          <cell r="F245">
            <v>0.15777374713728884</v>
          </cell>
          <cell r="G245">
            <v>8.2568740627441572E-2</v>
          </cell>
          <cell r="H245">
            <v>8.535606326897352E-2</v>
          </cell>
          <cell r="I245">
            <v>0.1554390509917784</v>
          </cell>
          <cell r="J245">
            <v>4.8565801385165738E-2</v>
          </cell>
          <cell r="K245">
            <v>6.1885644094034707E-2</v>
          </cell>
          <cell r="L245">
            <v>1.8462879568146025E-2</v>
          </cell>
        </row>
        <row r="282">
          <cell r="B282" t="str">
            <v>Commuter</v>
          </cell>
          <cell r="C282" t="str">
            <v>Business</v>
          </cell>
          <cell r="D282" t="str">
            <v>Education</v>
          </cell>
          <cell r="E282" t="str">
            <v>Escort Education</v>
          </cell>
          <cell r="F282" t="str">
            <v>Shopping</v>
          </cell>
          <cell r="G282" t="str">
            <v>Other Escort</v>
          </cell>
          <cell r="H282" t="str">
            <v>Personal business</v>
          </cell>
          <cell r="I282" t="str">
            <v>Visiting friends at private home</v>
          </cell>
          <cell r="J282" t="str">
            <v>Visiting friends elsewhere</v>
          </cell>
          <cell r="K282" t="str">
            <v>Entertainment / public activity</v>
          </cell>
          <cell r="L282" t="str">
            <v>Sport: participate</v>
          </cell>
        </row>
        <row r="283">
          <cell r="A283" t="str">
            <v>% walking trips</v>
          </cell>
          <cell r="B283">
            <v>74.2</v>
          </cell>
          <cell r="C283">
            <v>70.599999999999994</v>
          </cell>
          <cell r="D283">
            <v>85.3</v>
          </cell>
          <cell r="E283">
            <v>79.5</v>
          </cell>
          <cell r="F283">
            <v>78.099999999999994</v>
          </cell>
          <cell r="G283">
            <v>57.1</v>
          </cell>
          <cell r="H283">
            <v>75.900000000000006</v>
          </cell>
          <cell r="I283">
            <v>74.099999999999994</v>
          </cell>
          <cell r="J283">
            <v>85.6</v>
          </cell>
          <cell r="K283">
            <v>70.3</v>
          </cell>
          <cell r="L283">
            <v>67.099999999999994</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ump-plus.eu/" TargetMode="External"/><Relationship Id="rId1" Type="http://schemas.openxmlformats.org/officeDocument/2006/relationships/hyperlink" Target="https://vectos.co.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s://theicct.org/sites/default/files/publications/Role_of_EU-CO2_Standard_20180212.pdf" TargetMode="External"/><Relationship Id="rId2" Type="http://schemas.openxmlformats.org/officeDocument/2006/relationships/hyperlink" Target="https://theicct.org/sites/default/files/publications/ICCTupdate_EU-95gram_jan2014.pdf" TargetMode="External"/><Relationship Id="rId1" Type="http://schemas.openxmlformats.org/officeDocument/2006/relationships/hyperlink" Target="https://ourworldindata.org/grapher/carbon-intensity-electricity" TargetMode="External"/><Relationship Id="rId5" Type="http://schemas.openxmlformats.org/officeDocument/2006/relationships/printerSettings" Target="../printerSettings/printerSettings15.bin"/><Relationship Id="rId4" Type="http://schemas.openxmlformats.org/officeDocument/2006/relationships/hyperlink" Target="https://www.eea.europa.eu/ims/co2-performance-of-new-passenger"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mailto:national.travelsurvey@dft.gov.uk" TargetMode="External"/><Relationship Id="rId2" Type="http://schemas.openxmlformats.org/officeDocument/2006/relationships/hyperlink" Target="https://www.gov.uk/government/collections/rural-urban-classification" TargetMode="External"/><Relationship Id="rId1" Type="http://schemas.openxmlformats.org/officeDocument/2006/relationships/hyperlink" Target="https://www.gov.uk/government/organisations/department-for-transport/series/national-travel-survey-statistics" TargetMode="External"/><Relationship Id="rId5" Type="http://schemas.openxmlformats.org/officeDocument/2006/relationships/printerSettings" Target="../printerSettings/printerSettings16.bin"/><Relationship Id="rId4" Type="http://schemas.openxmlformats.org/officeDocument/2006/relationships/hyperlink" Target="https://www.gov.uk/government/statistics/national-travel-survey-202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vmlDrawing" Target="../drawings/vmlDrawing3.v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6.xml"/><Relationship Id="rId16" Type="http://schemas.openxmlformats.org/officeDocument/2006/relationships/ctrlProp" Target="../ctrlProps/ctrlProp20.xml"/><Relationship Id="rId20" Type="http://schemas.openxmlformats.org/officeDocument/2006/relationships/comments" Target="../comments1.xml"/><Relationship Id="rId1" Type="http://schemas.openxmlformats.org/officeDocument/2006/relationships/printerSettings" Target="../printerSettings/printerSettings5.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3"/>
  <sheetViews>
    <sheetView showGridLines="0" showRowColHeaders="0" zoomScaleNormal="100" workbookViewId="0">
      <selection activeCell="P13" sqref="P13"/>
    </sheetView>
  </sheetViews>
  <sheetFormatPr defaultRowHeight="14.5"/>
  <cols>
    <col min="12" max="12" width="9.81640625" customWidth="1"/>
  </cols>
  <sheetData>
    <row r="1" spans="2:19" ht="26" customHeight="1"/>
    <row r="2" spans="2:19">
      <c r="B2" s="581" t="s">
        <v>457</v>
      </c>
      <c r="C2" s="581"/>
      <c r="D2" s="581"/>
      <c r="E2" s="581"/>
      <c r="F2" s="581"/>
      <c r="G2" s="581"/>
      <c r="H2" s="581"/>
      <c r="I2" s="581"/>
      <c r="J2" s="581"/>
      <c r="K2" s="581"/>
      <c r="L2" s="581"/>
    </row>
    <row r="3" spans="2:19" ht="7.5" customHeight="1">
      <c r="B3" s="583"/>
      <c r="C3" s="583"/>
      <c r="D3" s="583"/>
      <c r="E3" s="583"/>
      <c r="F3" s="583"/>
      <c r="G3" s="583"/>
      <c r="H3" s="583"/>
      <c r="I3" s="583"/>
      <c r="J3" s="583"/>
      <c r="K3" s="583"/>
      <c r="L3" s="583"/>
    </row>
    <row r="4" spans="2:19" ht="19.5" customHeight="1">
      <c r="B4" s="582" t="s">
        <v>458</v>
      </c>
      <c r="C4" s="582"/>
      <c r="D4" s="582"/>
      <c r="E4" s="582"/>
      <c r="F4" s="582"/>
      <c r="G4" s="582"/>
      <c r="H4" s="582"/>
      <c r="I4" s="582"/>
      <c r="J4" s="582"/>
      <c r="K4" s="582"/>
      <c r="L4" s="582"/>
      <c r="M4" s="576"/>
      <c r="N4" s="576"/>
      <c r="O4" s="576"/>
      <c r="P4" s="576"/>
      <c r="Q4" s="576"/>
      <c r="R4" s="576"/>
      <c r="S4" s="576"/>
    </row>
    <row r="5" spans="2:19" ht="18.5" customHeight="1">
      <c r="B5" s="582"/>
      <c r="C5" s="582"/>
      <c r="D5" s="582"/>
      <c r="E5" s="582"/>
      <c r="F5" s="582"/>
      <c r="G5" s="582"/>
      <c r="H5" s="582"/>
      <c r="I5" s="582"/>
      <c r="J5" s="582"/>
      <c r="K5" s="582"/>
      <c r="L5" s="582"/>
      <c r="M5" s="576"/>
      <c r="N5" s="576"/>
      <c r="O5" s="576"/>
      <c r="P5" s="576"/>
      <c r="Q5" s="576"/>
      <c r="R5" s="576"/>
      <c r="S5" s="576"/>
    </row>
    <row r="6" spans="2:19" ht="19.5" customHeight="1">
      <c r="B6" s="582"/>
      <c r="C6" s="582"/>
      <c r="D6" s="582"/>
      <c r="E6" s="582"/>
      <c r="F6" s="582"/>
      <c r="G6" s="582"/>
      <c r="H6" s="582"/>
      <c r="I6" s="582"/>
      <c r="J6" s="582"/>
      <c r="K6" s="582"/>
      <c r="L6" s="582"/>
      <c r="M6" s="576"/>
      <c r="N6" s="576"/>
      <c r="O6" s="576"/>
      <c r="P6" s="576"/>
      <c r="Q6" s="576"/>
      <c r="R6" s="576"/>
      <c r="S6" s="576"/>
    </row>
    <row r="7" spans="2:19" ht="19.5" customHeight="1">
      <c r="B7" s="582"/>
      <c r="C7" s="582"/>
      <c r="D7" s="582"/>
      <c r="E7" s="582"/>
      <c r="F7" s="582"/>
      <c r="G7" s="582"/>
      <c r="H7" s="582"/>
      <c r="I7" s="582"/>
      <c r="J7" s="582"/>
      <c r="K7" s="582"/>
      <c r="L7" s="582"/>
      <c r="M7" s="576"/>
      <c r="N7" s="576"/>
      <c r="O7" s="576"/>
      <c r="P7" s="576"/>
      <c r="Q7" s="576"/>
      <c r="R7" s="576"/>
      <c r="S7" s="576"/>
    </row>
    <row r="8" spans="2:19">
      <c r="B8" s="582"/>
      <c r="C8" s="582"/>
      <c r="D8" s="582"/>
      <c r="E8" s="582"/>
      <c r="F8" s="582"/>
      <c r="G8" s="582"/>
      <c r="H8" s="582"/>
      <c r="I8" s="582"/>
      <c r="J8" s="582"/>
      <c r="K8" s="582"/>
      <c r="L8" s="582"/>
      <c r="M8" s="576"/>
      <c r="N8" s="576"/>
      <c r="O8" s="576"/>
      <c r="P8" s="576"/>
      <c r="Q8" s="576"/>
      <c r="R8" s="576"/>
      <c r="S8" s="576"/>
    </row>
    <row r="9" spans="2:19">
      <c r="B9" s="582"/>
      <c r="C9" s="582"/>
      <c r="D9" s="582"/>
      <c r="E9" s="582"/>
      <c r="F9" s="582"/>
      <c r="G9" s="582"/>
      <c r="H9" s="582"/>
      <c r="I9" s="582"/>
      <c r="J9" s="582"/>
      <c r="K9" s="582"/>
      <c r="L9" s="582"/>
      <c r="M9" s="576"/>
      <c r="N9" s="576"/>
      <c r="O9" s="576"/>
      <c r="P9" s="576"/>
      <c r="Q9" s="576"/>
      <c r="R9" s="576"/>
      <c r="S9" s="576"/>
    </row>
    <row r="10" spans="2:19">
      <c r="B10" s="582"/>
      <c r="C10" s="582"/>
      <c r="D10" s="582"/>
      <c r="E10" s="582"/>
      <c r="F10" s="582"/>
      <c r="G10" s="582"/>
      <c r="H10" s="582"/>
      <c r="I10" s="582"/>
      <c r="J10" s="582"/>
      <c r="K10" s="582"/>
      <c r="L10" s="582"/>
      <c r="M10" s="576"/>
      <c r="N10" s="576"/>
      <c r="O10" s="576"/>
      <c r="P10" s="576"/>
      <c r="Q10" s="576"/>
      <c r="R10" s="576"/>
      <c r="S10" s="576"/>
    </row>
    <row r="11" spans="2:19">
      <c r="B11" s="582"/>
      <c r="C11" s="582"/>
      <c r="D11" s="582"/>
      <c r="E11" s="582"/>
      <c r="F11" s="582"/>
      <c r="G11" s="582"/>
      <c r="H11" s="582"/>
      <c r="I11" s="582"/>
      <c r="J11" s="582"/>
      <c r="K11" s="582"/>
      <c r="L11" s="582"/>
      <c r="M11" s="576"/>
      <c r="N11" s="576"/>
      <c r="O11" s="576"/>
      <c r="P11" s="576"/>
      <c r="Q11" s="576"/>
      <c r="R11" s="576"/>
      <c r="S11" s="576"/>
    </row>
    <row r="12" spans="2:19">
      <c r="B12" s="582"/>
      <c r="C12" s="582"/>
      <c r="D12" s="582"/>
      <c r="E12" s="582"/>
      <c r="F12" s="582"/>
      <c r="G12" s="582"/>
      <c r="H12" s="582"/>
      <c r="I12" s="582"/>
      <c r="J12" s="582"/>
      <c r="K12" s="582"/>
      <c r="L12" s="582"/>
      <c r="M12" s="576"/>
      <c r="N12" s="576"/>
      <c r="O12" s="576"/>
      <c r="P12" s="576"/>
      <c r="Q12" s="576"/>
      <c r="R12" s="576"/>
      <c r="S12" s="576"/>
    </row>
    <row r="13" spans="2:19">
      <c r="B13" s="582"/>
      <c r="C13" s="582"/>
      <c r="D13" s="582"/>
      <c r="E13" s="582"/>
      <c r="F13" s="582"/>
      <c r="G13" s="582"/>
      <c r="H13" s="582"/>
      <c r="I13" s="582"/>
      <c r="J13" s="582"/>
      <c r="K13" s="582"/>
      <c r="L13" s="582"/>
      <c r="M13" s="576"/>
      <c r="N13" s="576"/>
      <c r="O13" s="576"/>
      <c r="P13" s="576"/>
      <c r="Q13" s="576"/>
      <c r="R13" s="576"/>
      <c r="S13" s="576"/>
    </row>
    <row r="14" spans="2:19">
      <c r="B14" s="582"/>
      <c r="C14" s="582"/>
      <c r="D14" s="582"/>
      <c r="E14" s="582"/>
      <c r="F14" s="582"/>
      <c r="G14" s="582"/>
      <c r="H14" s="582"/>
      <c r="I14" s="582"/>
      <c r="J14" s="582"/>
      <c r="K14" s="582"/>
      <c r="L14" s="582"/>
      <c r="M14" s="576"/>
      <c r="N14" s="576"/>
      <c r="O14" s="576"/>
      <c r="P14" s="576"/>
      <c r="Q14" s="576"/>
      <c r="R14" s="576"/>
      <c r="S14" s="576"/>
    </row>
    <row r="15" spans="2:19">
      <c r="B15" s="582"/>
      <c r="C15" s="582"/>
      <c r="D15" s="582"/>
      <c r="E15" s="582"/>
      <c r="F15" s="582"/>
      <c r="G15" s="582"/>
      <c r="H15" s="582"/>
      <c r="I15" s="582"/>
      <c r="J15" s="582"/>
      <c r="K15" s="582"/>
      <c r="L15" s="582"/>
      <c r="M15" s="576"/>
      <c r="N15" s="576"/>
      <c r="O15" s="576"/>
      <c r="P15" s="576"/>
      <c r="Q15" s="576"/>
      <c r="R15" s="576"/>
      <c r="S15" s="576"/>
    </row>
    <row r="16" spans="2:19">
      <c r="B16" s="582"/>
      <c r="C16" s="582"/>
      <c r="D16" s="582"/>
      <c r="E16" s="582"/>
      <c r="F16" s="582"/>
      <c r="G16" s="582"/>
      <c r="H16" s="582"/>
      <c r="I16" s="582"/>
      <c r="J16" s="582"/>
      <c r="K16" s="582"/>
      <c r="L16" s="582"/>
      <c r="M16" s="576"/>
      <c r="N16" s="576"/>
      <c r="O16" s="576"/>
      <c r="P16" s="576"/>
      <c r="Q16" s="576"/>
      <c r="R16" s="576"/>
      <c r="S16" s="576"/>
    </row>
    <row r="17" spans="2:19">
      <c r="B17" s="582"/>
      <c r="C17" s="582"/>
      <c r="D17" s="582"/>
      <c r="E17" s="582"/>
      <c r="F17" s="582"/>
      <c r="G17" s="582"/>
      <c r="H17" s="582"/>
      <c r="I17" s="582"/>
      <c r="J17" s="582"/>
      <c r="K17" s="582"/>
      <c r="L17" s="582"/>
      <c r="M17" s="576"/>
      <c r="N17" s="576"/>
      <c r="O17" s="576"/>
      <c r="P17" s="576"/>
      <c r="Q17" s="576"/>
      <c r="R17" s="576"/>
      <c r="S17" s="576"/>
    </row>
    <row r="18" spans="2:19">
      <c r="B18" s="582"/>
      <c r="C18" s="582"/>
      <c r="D18" s="582"/>
      <c r="E18" s="582"/>
      <c r="F18" s="582"/>
      <c r="G18" s="582"/>
      <c r="H18" s="582"/>
      <c r="I18" s="582"/>
      <c r="J18" s="582"/>
      <c r="K18" s="582"/>
      <c r="L18" s="582"/>
      <c r="M18" s="576"/>
      <c r="N18" s="576"/>
      <c r="O18" s="576"/>
      <c r="P18" s="576"/>
      <c r="Q18" s="576"/>
      <c r="R18" s="576"/>
      <c r="S18" s="576"/>
    </row>
    <row r="19" spans="2:19">
      <c r="B19" s="577"/>
      <c r="C19" s="577"/>
      <c r="D19" s="577"/>
      <c r="E19" s="577"/>
      <c r="F19" s="577"/>
      <c r="G19" s="577"/>
      <c r="H19" s="577"/>
      <c r="I19" s="577"/>
      <c r="J19" s="577"/>
      <c r="K19" s="577"/>
      <c r="L19" s="577"/>
      <c r="M19" s="576"/>
      <c r="N19" s="576"/>
      <c r="O19" s="576"/>
      <c r="P19" s="576"/>
      <c r="Q19" s="576"/>
      <c r="R19" s="576"/>
      <c r="S19" s="576"/>
    </row>
    <row r="20" spans="2:19">
      <c r="B20" s="584" t="s">
        <v>453</v>
      </c>
      <c r="C20" s="584"/>
      <c r="D20" s="584"/>
      <c r="E20" s="584"/>
      <c r="F20" s="584"/>
      <c r="G20" s="584"/>
      <c r="H20" s="584"/>
      <c r="I20" s="584"/>
      <c r="J20" s="584"/>
      <c r="K20" s="584"/>
      <c r="L20" s="584"/>
      <c r="M20" s="576"/>
      <c r="N20" s="576"/>
      <c r="O20" s="576"/>
      <c r="Q20" s="576"/>
      <c r="R20" s="576"/>
      <c r="S20" s="576"/>
    </row>
    <row r="21" spans="2:19" ht="14.5" customHeight="1">
      <c r="B21" s="585" t="s">
        <v>480</v>
      </c>
      <c r="C21" s="585"/>
      <c r="D21" s="585"/>
      <c r="E21" s="585"/>
      <c r="F21" s="585"/>
      <c r="G21" s="585"/>
      <c r="H21" s="585"/>
      <c r="I21" s="585"/>
      <c r="J21" s="585"/>
      <c r="K21" s="579" t="s">
        <v>454</v>
      </c>
      <c r="L21" s="578"/>
      <c r="M21" s="576"/>
      <c r="N21" s="576"/>
      <c r="O21" s="576"/>
      <c r="P21" s="576"/>
      <c r="Q21" s="576"/>
      <c r="R21" s="576"/>
      <c r="S21" s="576"/>
    </row>
    <row r="22" spans="2:19">
      <c r="B22" s="585"/>
      <c r="C22" s="585"/>
      <c r="D22" s="585"/>
      <c r="E22" s="585"/>
      <c r="F22" s="585"/>
      <c r="G22" s="585"/>
      <c r="H22" s="585"/>
      <c r="I22" s="585"/>
      <c r="J22" s="585"/>
      <c r="K22" s="578"/>
      <c r="L22" s="578"/>
      <c r="M22" s="576"/>
      <c r="N22" s="576"/>
      <c r="O22" s="576"/>
      <c r="P22" s="576"/>
      <c r="Q22" s="576"/>
      <c r="R22" s="576"/>
      <c r="S22" s="576"/>
    </row>
    <row r="23" spans="2:19">
      <c r="B23" s="585"/>
      <c r="C23" s="585"/>
      <c r="D23" s="585"/>
      <c r="E23" s="585"/>
      <c r="F23" s="585"/>
      <c r="G23" s="585"/>
      <c r="H23" s="585"/>
      <c r="I23" s="585"/>
      <c r="J23" s="585"/>
      <c r="K23" s="579" t="s">
        <v>455</v>
      </c>
      <c r="L23" s="578"/>
      <c r="M23" s="576"/>
      <c r="N23" s="576"/>
      <c r="O23" s="576"/>
      <c r="P23" s="576"/>
      <c r="Q23" s="576"/>
      <c r="R23" s="576"/>
      <c r="S23" s="576"/>
    </row>
    <row r="24" spans="2:19">
      <c r="B24" s="585"/>
      <c r="C24" s="585"/>
      <c r="D24" s="585"/>
      <c r="E24" s="585"/>
      <c r="F24" s="585"/>
      <c r="G24" s="585"/>
      <c r="H24" s="585"/>
      <c r="I24" s="585"/>
      <c r="J24" s="585"/>
      <c r="K24" s="578"/>
      <c r="L24" s="578"/>
      <c r="M24" s="576"/>
      <c r="N24" s="576"/>
      <c r="O24" s="576"/>
      <c r="P24" s="576"/>
      <c r="Q24" s="576"/>
      <c r="R24" s="576"/>
      <c r="S24" s="576"/>
    </row>
    <row r="25" spans="2:19">
      <c r="B25" s="585"/>
      <c r="C25" s="585"/>
      <c r="D25" s="585"/>
      <c r="E25" s="585"/>
      <c r="F25" s="585"/>
      <c r="G25" s="585"/>
      <c r="H25" s="585"/>
      <c r="I25" s="585"/>
      <c r="J25" s="585"/>
      <c r="K25" s="578"/>
      <c r="L25" s="578"/>
      <c r="M25" s="576"/>
      <c r="N25" s="576"/>
      <c r="O25" s="576"/>
      <c r="P25" s="576"/>
      <c r="Q25" s="576"/>
      <c r="R25" s="576"/>
      <c r="S25" s="576"/>
    </row>
    <row r="26" spans="2:19">
      <c r="B26" s="576"/>
      <c r="C26" s="576"/>
      <c r="D26" s="576"/>
      <c r="E26" s="576"/>
      <c r="F26" s="576"/>
      <c r="G26" s="576"/>
      <c r="H26" s="576"/>
      <c r="I26" s="576"/>
      <c r="J26" s="576"/>
      <c r="K26" s="576"/>
      <c r="L26" s="576"/>
      <c r="M26" s="576"/>
      <c r="N26" s="576"/>
      <c r="O26" s="576"/>
      <c r="P26" s="576"/>
      <c r="Q26" s="576"/>
      <c r="R26" s="576"/>
      <c r="S26" s="576"/>
    </row>
    <row r="27" spans="2:19">
      <c r="B27" s="576"/>
      <c r="C27" s="576"/>
      <c r="D27" s="576"/>
      <c r="E27" s="576"/>
      <c r="F27" s="576"/>
      <c r="G27" s="576"/>
      <c r="H27" s="576"/>
      <c r="I27" s="576"/>
      <c r="J27" s="576"/>
      <c r="K27" s="576"/>
      <c r="L27" s="576"/>
      <c r="M27" s="576"/>
      <c r="N27" s="576"/>
      <c r="O27" s="576"/>
      <c r="P27" s="576"/>
      <c r="Q27" s="576"/>
      <c r="R27" s="576"/>
      <c r="S27" s="576"/>
    </row>
    <row r="28" spans="2:19">
      <c r="B28" s="576"/>
      <c r="C28" s="576"/>
      <c r="D28" s="576"/>
      <c r="E28" s="576"/>
      <c r="F28" s="576"/>
      <c r="G28" s="576"/>
      <c r="H28" s="576"/>
      <c r="I28" s="576"/>
      <c r="J28" s="576"/>
      <c r="K28" s="576"/>
      <c r="L28" s="576"/>
      <c r="M28" s="576"/>
      <c r="N28" s="576"/>
      <c r="O28" s="576"/>
      <c r="P28" s="576"/>
      <c r="Q28" s="576"/>
      <c r="R28" s="576"/>
      <c r="S28" s="576"/>
    </row>
    <row r="29" spans="2:19">
      <c r="B29" s="576"/>
      <c r="C29" s="576"/>
      <c r="D29" s="576"/>
      <c r="E29" s="576"/>
      <c r="F29" s="576"/>
      <c r="G29" s="576"/>
      <c r="H29" s="576"/>
      <c r="I29" s="576"/>
      <c r="J29" s="576"/>
      <c r="K29" s="576"/>
      <c r="L29" s="576"/>
      <c r="M29" s="576"/>
      <c r="N29" s="576"/>
      <c r="O29" s="576"/>
      <c r="P29" s="576"/>
      <c r="Q29" s="576"/>
      <c r="R29" s="576"/>
      <c r="S29" s="576"/>
    </row>
    <row r="30" spans="2:19">
      <c r="B30" s="576"/>
      <c r="C30" s="576"/>
      <c r="D30" s="576"/>
      <c r="E30" s="576"/>
      <c r="F30" s="576"/>
      <c r="G30" s="576"/>
      <c r="H30" s="576"/>
      <c r="I30" s="576"/>
      <c r="J30" s="576"/>
      <c r="K30" s="576"/>
      <c r="L30" s="576"/>
      <c r="M30" s="576"/>
      <c r="N30" s="576"/>
      <c r="O30" s="576"/>
      <c r="P30" s="576"/>
      <c r="Q30" s="576"/>
      <c r="R30" s="576"/>
      <c r="S30" s="576"/>
    </row>
    <row r="31" spans="2:19">
      <c r="B31" s="576"/>
      <c r="C31" s="576"/>
      <c r="D31" s="576"/>
      <c r="E31" s="576"/>
      <c r="F31" s="576"/>
      <c r="G31" s="576"/>
      <c r="H31" s="576"/>
      <c r="I31" s="576"/>
      <c r="J31" s="576"/>
      <c r="K31" s="576"/>
      <c r="L31" s="576"/>
      <c r="M31" s="576"/>
      <c r="N31" s="576"/>
      <c r="O31" s="576"/>
      <c r="P31" s="576"/>
      <c r="Q31" s="576"/>
      <c r="R31" s="576"/>
      <c r="S31" s="576"/>
    </row>
    <row r="32" spans="2:19">
      <c r="B32" s="576"/>
      <c r="C32" s="576"/>
      <c r="D32" s="576"/>
      <c r="E32" s="576"/>
      <c r="F32" s="576"/>
      <c r="G32" s="576"/>
      <c r="H32" s="576"/>
      <c r="I32" s="576"/>
      <c r="J32" s="576"/>
      <c r="K32" s="576"/>
      <c r="L32" s="576"/>
      <c r="M32" s="576"/>
      <c r="N32" s="576"/>
      <c r="O32" s="576"/>
      <c r="P32" s="576"/>
      <c r="Q32" s="576"/>
      <c r="R32" s="576"/>
      <c r="S32" s="576"/>
    </row>
    <row r="33" spans="2:19">
      <c r="B33" s="576"/>
      <c r="C33" s="576"/>
      <c r="D33" s="576"/>
      <c r="E33" s="576"/>
      <c r="F33" s="576"/>
      <c r="G33" s="576"/>
      <c r="H33" s="576"/>
      <c r="I33" s="576"/>
      <c r="J33" s="576"/>
      <c r="K33" s="576"/>
      <c r="L33" s="576"/>
      <c r="M33" s="576"/>
      <c r="N33" s="576"/>
      <c r="O33" s="576"/>
      <c r="P33" s="576"/>
      <c r="Q33" s="576"/>
      <c r="R33" s="576"/>
      <c r="S33" s="576"/>
    </row>
  </sheetData>
  <mergeCells count="5">
    <mergeCell ref="B2:L2"/>
    <mergeCell ref="B4:L18"/>
    <mergeCell ref="B3:L3"/>
    <mergeCell ref="B20:L20"/>
    <mergeCell ref="B21:J25"/>
  </mergeCells>
  <hyperlinks>
    <hyperlink ref="K21" r:id="rId1" xr:uid="{00000000-0004-0000-0000-000000000000}"/>
    <hyperlink ref="K23" r:id="rId2" xr:uid="{00000000-0004-0000-0000-000001000000}"/>
  </hyperlinks>
  <pageMargins left="0.7" right="0.7" top="0.75" bottom="0.75" header="0.3" footer="0.3"/>
  <pageSetup paperSize="9" orientation="portrait" horizontalDpi="4294967293" verticalDpi="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JV1048576"/>
  <sheetViews>
    <sheetView zoomScale="10" zoomScaleNormal="10" workbookViewId="0">
      <selection activeCell="JG3" sqref="JG3"/>
    </sheetView>
  </sheetViews>
  <sheetFormatPr defaultRowHeight="14.5"/>
  <cols>
    <col min="6" max="6" width="10.453125" customWidth="1"/>
    <col min="7" max="7" width="10.7265625" customWidth="1"/>
    <col min="8" max="8" width="10.81640625" bestFit="1" customWidth="1"/>
    <col min="10" max="10" width="8.7265625" customWidth="1"/>
    <col min="12" max="14" width="9.7265625" customWidth="1"/>
    <col min="15" max="15" width="9.36328125" customWidth="1"/>
    <col min="16" max="16" width="11.1796875" customWidth="1"/>
    <col min="20" max="20" width="10.26953125" customWidth="1"/>
    <col min="24" max="24" width="11.1796875" customWidth="1"/>
    <col min="25" max="25" width="10.6328125" customWidth="1"/>
    <col min="26" max="26" width="8.7265625" customWidth="1"/>
    <col min="37" max="37" width="9.54296875" customWidth="1"/>
    <col min="41" max="41" width="14.26953125" customWidth="1"/>
    <col min="52" max="52" width="8.7265625" customWidth="1"/>
    <col min="53" max="53" width="9.36328125" customWidth="1"/>
    <col min="54" max="55" width="8.36328125" customWidth="1"/>
    <col min="79" max="79" width="16.453125" customWidth="1"/>
    <col min="80" max="86" width="12.6328125" customWidth="1"/>
    <col min="88" max="88" width="17.81640625" customWidth="1"/>
    <col min="101" max="101" width="9" customWidth="1"/>
    <col min="110" max="110" width="10" customWidth="1"/>
    <col min="133" max="140" width="10.90625" customWidth="1"/>
    <col min="151" max="151" width="17.81640625" customWidth="1"/>
    <col min="152" max="153" width="28.7265625" customWidth="1"/>
    <col min="154" max="156" width="11.26953125" customWidth="1"/>
    <col min="157" max="158" width="11.7265625" customWidth="1"/>
    <col min="168" max="168" width="20.26953125" customWidth="1"/>
    <col min="169" max="171" width="8.7265625" customWidth="1"/>
    <col min="183" max="183" width="20.26953125" customWidth="1"/>
    <col min="198" max="198" width="20.26953125" customWidth="1"/>
    <col min="199" max="200" width="10.26953125" customWidth="1"/>
    <col min="213" max="213" width="20.26953125" customWidth="1"/>
    <col min="217" max="217" width="10.90625" customWidth="1"/>
    <col min="228" max="228" width="20.26953125" customWidth="1"/>
    <col min="232" max="232" width="10.7265625" customWidth="1"/>
    <col min="243" max="243" width="20.26953125" customWidth="1"/>
    <col min="258" max="258" width="20.26953125" customWidth="1"/>
    <col min="260" max="260" width="10.54296875" customWidth="1"/>
    <col min="261" max="262" width="10.26953125" customWidth="1"/>
    <col min="263" max="264" width="9.7265625" customWidth="1"/>
    <col min="265" max="265" width="9.6328125" customWidth="1"/>
    <col min="268" max="268" width="9" customWidth="1"/>
  </cols>
  <sheetData>
    <row r="1" spans="1:280" ht="15" thickBot="1">
      <c r="A1" s="246" t="s">
        <v>160</v>
      </c>
      <c r="B1" s="247"/>
      <c r="C1" s="247"/>
      <c r="D1" s="247"/>
      <c r="E1" s="247"/>
      <c r="F1" s="247"/>
      <c r="H1" s="309" t="s">
        <v>146</v>
      </c>
      <c r="I1" s="310" t="s">
        <v>147</v>
      </c>
      <c r="J1" s="311" t="s">
        <v>148</v>
      </c>
      <c r="L1" s="713" t="s">
        <v>229</v>
      </c>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O1" s="714" t="s">
        <v>230</v>
      </c>
      <c r="AP1" s="715"/>
      <c r="AQ1" s="715"/>
      <c r="AR1" s="715"/>
      <c r="AS1" s="715"/>
      <c r="AT1" s="715"/>
      <c r="AU1" s="715"/>
      <c r="AV1" s="715"/>
      <c r="AW1" s="715"/>
      <c r="AX1" s="715"/>
      <c r="AY1" s="715"/>
      <c r="AZ1" s="715"/>
      <c r="BA1" s="715"/>
      <c r="BB1" s="715"/>
      <c r="BC1" s="715"/>
      <c r="BD1" s="715"/>
      <c r="BE1" s="715"/>
      <c r="BF1" s="715"/>
      <c r="BG1" s="715"/>
      <c r="BH1" s="715"/>
      <c r="BI1" s="715"/>
      <c r="BJ1" s="715"/>
      <c r="BK1" s="715"/>
      <c r="BL1" s="715"/>
      <c r="BM1" s="715"/>
      <c r="BN1" s="715"/>
      <c r="BO1" s="715"/>
      <c r="BP1" s="715"/>
      <c r="BQ1" s="715"/>
      <c r="BR1" s="715"/>
      <c r="BS1" s="715"/>
      <c r="BT1" s="715"/>
      <c r="BU1" s="715"/>
      <c r="BV1" s="715"/>
      <c r="BW1" s="716"/>
      <c r="BX1" s="387">
        <f>A35</f>
        <v>0.8</v>
      </c>
      <c r="BY1" s="387">
        <f>A35</f>
        <v>0.8</v>
      </c>
      <c r="BZ1" s="2"/>
      <c r="EY1" s="72">
        <f>'1 StrategyMix for CarbonTargets'!V46</f>
        <v>0.8</v>
      </c>
      <c r="EZ1" s="371">
        <f t="shared" ref="EZ1:FK1" si="0">EY1+0.0001</f>
        <v>0.80010000000000003</v>
      </c>
      <c r="FA1" s="371">
        <f t="shared" si="0"/>
        <v>0.80020000000000002</v>
      </c>
      <c r="FB1" s="371">
        <f t="shared" si="0"/>
        <v>0.80030000000000001</v>
      </c>
      <c r="FC1" s="371">
        <f t="shared" si="0"/>
        <v>0.8004</v>
      </c>
      <c r="FD1" s="371">
        <f t="shared" si="0"/>
        <v>0.80049999999999999</v>
      </c>
      <c r="FE1" s="371">
        <f t="shared" si="0"/>
        <v>0.80059999999999998</v>
      </c>
      <c r="FF1" s="371">
        <f t="shared" si="0"/>
        <v>0.80069999999999997</v>
      </c>
      <c r="FG1" s="371">
        <f t="shared" si="0"/>
        <v>0.80079999999999996</v>
      </c>
      <c r="FH1" s="371">
        <f t="shared" si="0"/>
        <v>0.80089999999999995</v>
      </c>
      <c r="FI1" s="371">
        <f t="shared" si="0"/>
        <v>0.80099999999999993</v>
      </c>
      <c r="FJ1" s="371">
        <f t="shared" si="0"/>
        <v>0.80109999999999992</v>
      </c>
      <c r="FK1" s="371">
        <f t="shared" si="0"/>
        <v>0.80119999999999991</v>
      </c>
      <c r="FN1" s="72"/>
      <c r="FO1" s="370"/>
      <c r="FP1" s="370"/>
      <c r="FQ1" s="370"/>
      <c r="FR1" s="370"/>
      <c r="FS1" s="370"/>
      <c r="FT1" s="370"/>
      <c r="FU1" s="370"/>
      <c r="FV1" s="370"/>
      <c r="FW1" s="370"/>
      <c r="FX1" s="370"/>
      <c r="FY1" s="370"/>
      <c r="FZ1" s="370"/>
    </row>
    <row r="2" spans="1:280" ht="28" customHeight="1" thickBot="1">
      <c r="A2" s="690" t="s">
        <v>100</v>
      </c>
      <c r="B2" s="690"/>
      <c r="C2" s="690"/>
      <c r="D2" s="690"/>
      <c r="E2" s="690"/>
      <c r="F2" s="690"/>
      <c r="H2" s="300" t="s">
        <v>228</v>
      </c>
      <c r="J2" s="301"/>
      <c r="L2" s="256" t="s">
        <v>117</v>
      </c>
      <c r="M2" s="398"/>
      <c r="N2" s="271"/>
      <c r="O2" s="695" t="s">
        <v>120</v>
      </c>
      <c r="P2" s="695"/>
      <c r="Q2" s="695"/>
      <c r="R2" s="695"/>
      <c r="S2" s="691" t="s">
        <v>121</v>
      </c>
      <c r="T2" s="691"/>
      <c r="U2" s="691"/>
      <c r="V2" s="691"/>
      <c r="W2" s="255"/>
      <c r="X2" s="395"/>
      <c r="Y2" s="395"/>
      <c r="Z2" s="245" t="s">
        <v>159</v>
      </c>
      <c r="AA2" s="245"/>
      <c r="AB2" s="245"/>
      <c r="AC2" s="245"/>
      <c r="AD2" s="245"/>
      <c r="AE2" s="245"/>
      <c r="AF2" s="245"/>
      <c r="AG2" s="245"/>
      <c r="AH2" s="245"/>
      <c r="AI2" s="245"/>
      <c r="AJ2" s="245"/>
      <c r="AK2" s="245"/>
      <c r="AL2" s="245"/>
      <c r="AO2" s="694" t="s">
        <v>120</v>
      </c>
      <c r="AP2" s="695"/>
      <c r="AQ2" s="695"/>
      <c r="AR2" s="695"/>
      <c r="AS2" s="695"/>
      <c r="AT2" s="691" t="s">
        <v>121</v>
      </c>
      <c r="AU2" s="691"/>
      <c r="AV2" s="691"/>
      <c r="AW2" s="691"/>
      <c r="AX2" s="255"/>
      <c r="AY2" s="245" t="s">
        <v>159</v>
      </c>
      <c r="AZ2" s="245"/>
      <c r="BA2" s="700" t="s">
        <v>181</v>
      </c>
      <c r="BB2" s="696" t="s">
        <v>182</v>
      </c>
      <c r="BC2" s="698" t="s">
        <v>183</v>
      </c>
      <c r="BD2" s="245"/>
      <c r="BE2" s="700" t="s">
        <v>184</v>
      </c>
      <c r="BF2" s="696" t="s">
        <v>185</v>
      </c>
      <c r="BG2" s="698" t="s">
        <v>186</v>
      </c>
      <c r="BH2" s="245"/>
      <c r="BI2" s="700" t="s">
        <v>187</v>
      </c>
      <c r="BJ2" s="696" t="s">
        <v>188</v>
      </c>
      <c r="BK2" s="698" t="s">
        <v>189</v>
      </c>
      <c r="BL2" s="245"/>
      <c r="BM2" s="700" t="s">
        <v>190</v>
      </c>
      <c r="BN2" s="696" t="s">
        <v>191</v>
      </c>
      <c r="BO2" s="698" t="s">
        <v>192</v>
      </c>
      <c r="BP2" s="245"/>
      <c r="BQ2" s="700" t="s">
        <v>193</v>
      </c>
      <c r="BR2" s="696" t="s">
        <v>194</v>
      </c>
      <c r="BS2" s="698" t="s">
        <v>195</v>
      </c>
      <c r="BT2" s="245"/>
      <c r="BU2" s="700" t="s">
        <v>196</v>
      </c>
      <c r="BV2" s="696" t="s">
        <v>197</v>
      </c>
      <c r="BW2" s="698" t="s">
        <v>198</v>
      </c>
      <c r="BX2" s="705" t="s">
        <v>294</v>
      </c>
      <c r="BY2" s="732" t="s">
        <v>293</v>
      </c>
      <c r="BZ2" s="289"/>
      <c r="EX2" s="3"/>
      <c r="EY2" s="3"/>
      <c r="EZ2" s="3"/>
      <c r="FA2" s="3"/>
      <c r="FB2" s="3"/>
      <c r="FC2" s="3"/>
      <c r="FD2" s="3"/>
      <c r="FE2" s="3"/>
      <c r="FF2" s="3"/>
      <c r="FG2" s="3"/>
      <c r="FH2" s="3"/>
      <c r="FI2" s="3"/>
      <c r="FJ2" s="3"/>
      <c r="FK2" s="3"/>
      <c r="FM2" s="3">
        <v>0.8</v>
      </c>
      <c r="FN2" s="3"/>
      <c r="FO2" s="3"/>
      <c r="FP2" s="3"/>
      <c r="FQ2" s="3"/>
      <c r="FR2" s="3"/>
      <c r="FS2" s="3"/>
      <c r="FT2" s="3"/>
      <c r="FU2" s="3"/>
      <c r="FV2" s="3"/>
      <c r="FW2" s="3"/>
      <c r="FX2" s="3"/>
      <c r="FY2" s="3"/>
      <c r="FZ2" s="3"/>
      <c r="GB2" s="3">
        <v>0.6</v>
      </c>
      <c r="GQ2" s="3">
        <v>0.4</v>
      </c>
      <c r="HF2" s="3">
        <v>0.2</v>
      </c>
      <c r="HU2" s="3">
        <v>0.1</v>
      </c>
      <c r="IJ2" s="3">
        <v>0</v>
      </c>
    </row>
    <row r="3" spans="1:280" ht="56" customHeight="1">
      <c r="A3" s="262">
        <f>'1 StrategyMix for CarbonTargets'!V6</f>
        <v>-0.05</v>
      </c>
      <c r="B3" s="247"/>
      <c r="C3" s="247"/>
      <c r="D3" s="247"/>
      <c r="E3" s="293"/>
      <c r="F3" s="293"/>
      <c r="G3" s="293"/>
      <c r="H3" s="312">
        <f>-A3</f>
        <v>0.05</v>
      </c>
      <c r="I3" s="313">
        <f>-A3</f>
        <v>0.05</v>
      </c>
      <c r="J3" s="314">
        <f>-A3</f>
        <v>0.05</v>
      </c>
      <c r="K3" s="3"/>
      <c r="L3" s="257" t="s">
        <v>299</v>
      </c>
      <c r="M3" s="399" t="s">
        <v>298</v>
      </c>
      <c r="N3" s="401"/>
      <c r="O3" s="253" t="s">
        <v>129</v>
      </c>
      <c r="P3" s="253" t="s">
        <v>127</v>
      </c>
      <c r="Q3" s="253" t="s">
        <v>118</v>
      </c>
      <c r="R3" s="253" t="s">
        <v>119</v>
      </c>
      <c r="S3" s="251"/>
      <c r="T3" s="251" t="s">
        <v>253</v>
      </c>
      <c r="U3" s="251" t="s">
        <v>254</v>
      </c>
      <c r="V3" s="251" t="s">
        <v>255</v>
      </c>
      <c r="W3" s="251"/>
      <c r="X3" s="249" t="s">
        <v>295</v>
      </c>
      <c r="Y3" s="249" t="s">
        <v>296</v>
      </c>
      <c r="Z3" s="249" t="s">
        <v>139</v>
      </c>
      <c r="AA3" s="249" t="s">
        <v>138</v>
      </c>
      <c r="AB3" s="249" t="s">
        <v>124</v>
      </c>
      <c r="AC3" s="249" t="s">
        <v>133</v>
      </c>
      <c r="AD3" s="249" t="s">
        <v>125</v>
      </c>
      <c r="AE3" s="249" t="s">
        <v>134</v>
      </c>
      <c r="AF3" s="249" t="s">
        <v>126</v>
      </c>
      <c r="AG3" s="249" t="s">
        <v>135</v>
      </c>
      <c r="AH3" s="249" t="s">
        <v>130</v>
      </c>
      <c r="AI3" s="249" t="s">
        <v>136</v>
      </c>
      <c r="AJ3" s="249" t="s">
        <v>131</v>
      </c>
      <c r="AK3" s="249" t="s">
        <v>137</v>
      </c>
      <c r="AL3" s="249" t="s">
        <v>132</v>
      </c>
      <c r="AM3" s="249" t="s">
        <v>295</v>
      </c>
      <c r="AN3" s="249" t="s">
        <v>296</v>
      </c>
      <c r="AO3" s="325"/>
      <c r="AP3" s="253" t="s">
        <v>129</v>
      </c>
      <c r="AQ3" s="253" t="s">
        <v>127</v>
      </c>
      <c r="AR3" s="253" t="s">
        <v>118</v>
      </c>
      <c r="AS3" s="253" t="s">
        <v>119</v>
      </c>
      <c r="AT3" s="251"/>
      <c r="AU3" s="251" t="s">
        <v>128</v>
      </c>
      <c r="AV3" s="251" t="s">
        <v>122</v>
      </c>
      <c r="AW3" s="251" t="s">
        <v>123</v>
      </c>
      <c r="AX3" s="251"/>
      <c r="AY3" s="249" t="s">
        <v>139</v>
      </c>
      <c r="AZ3" s="249" t="s">
        <v>138</v>
      </c>
      <c r="BA3" s="701"/>
      <c r="BB3" s="697"/>
      <c r="BC3" s="699"/>
      <c r="BD3" s="249" t="s">
        <v>133</v>
      </c>
      <c r="BE3" s="701"/>
      <c r="BF3" s="697"/>
      <c r="BG3" s="699"/>
      <c r="BH3" s="249" t="s">
        <v>134</v>
      </c>
      <c r="BI3" s="701"/>
      <c r="BJ3" s="697"/>
      <c r="BK3" s="699"/>
      <c r="BL3" s="249" t="s">
        <v>135</v>
      </c>
      <c r="BM3" s="701"/>
      <c r="BN3" s="697"/>
      <c r="BO3" s="699"/>
      <c r="BP3" s="249" t="s">
        <v>136</v>
      </c>
      <c r="BQ3" s="701"/>
      <c r="BR3" s="697"/>
      <c r="BS3" s="699"/>
      <c r="BT3" s="249" t="s">
        <v>292</v>
      </c>
      <c r="BU3" s="701"/>
      <c r="BV3" s="697"/>
      <c r="BW3" s="699"/>
      <c r="BX3" s="705"/>
      <c r="BY3" s="732"/>
      <c r="BZ3" s="289"/>
      <c r="CL3" s="1"/>
      <c r="CM3" s="1"/>
      <c r="CN3" s="1"/>
      <c r="CO3" s="1"/>
      <c r="CP3" s="1"/>
      <c r="CQ3" s="1"/>
      <c r="CR3" s="1"/>
      <c r="CS3" s="1"/>
      <c r="CT3" s="1"/>
      <c r="CU3" s="1"/>
      <c r="CV3" s="1"/>
      <c r="CW3" s="1"/>
      <c r="CX3" s="1"/>
      <c r="CY3" s="1"/>
      <c r="CZ3" s="1"/>
      <c r="DA3" s="1"/>
      <c r="DB3" s="1"/>
      <c r="DC3" s="1"/>
      <c r="DD3" s="1"/>
      <c r="DE3" s="1"/>
      <c r="DF3" s="1"/>
      <c r="DG3" s="1"/>
      <c r="EX3" s="725" t="s">
        <v>239</v>
      </c>
      <c r="EY3" s="726"/>
      <c r="EZ3" s="726"/>
      <c r="FA3" s="726"/>
      <c r="FB3" s="726"/>
      <c r="FC3" s="726"/>
      <c r="FD3" s="726"/>
      <c r="FE3" s="726"/>
      <c r="FF3" s="726"/>
      <c r="FG3" s="726"/>
      <c r="FH3" s="726"/>
      <c r="FI3" s="726"/>
      <c r="FJ3" s="726"/>
      <c r="FK3" s="727"/>
      <c r="FM3" s="725" t="s">
        <v>240</v>
      </c>
      <c r="FN3" s="726"/>
      <c r="FO3" s="726"/>
      <c r="FP3" s="726"/>
      <c r="FQ3" s="726"/>
      <c r="FR3" s="726"/>
      <c r="FS3" s="726"/>
      <c r="FT3" s="726"/>
      <c r="FU3" s="726"/>
      <c r="FV3" s="726"/>
      <c r="FW3" s="726"/>
      <c r="FX3" s="726"/>
      <c r="FY3" s="726"/>
      <c r="FZ3" s="727"/>
      <c r="GB3" s="725" t="s">
        <v>241</v>
      </c>
      <c r="GC3" s="726"/>
      <c r="GD3" s="726"/>
      <c r="GE3" s="726"/>
      <c r="GF3" s="726"/>
      <c r="GG3" s="726"/>
      <c r="GH3" s="726"/>
      <c r="GI3" s="726"/>
      <c r="GJ3" s="726"/>
      <c r="GK3" s="726"/>
      <c r="GL3" s="726"/>
      <c r="GM3" s="726"/>
      <c r="GN3" s="726"/>
      <c r="GO3" s="727"/>
      <c r="GQ3" s="725" t="s">
        <v>245</v>
      </c>
      <c r="GR3" s="726"/>
      <c r="GS3" s="726"/>
      <c r="GT3" s="726"/>
      <c r="GU3" s="726"/>
      <c r="GV3" s="726"/>
      <c r="GW3" s="726"/>
      <c r="GX3" s="726"/>
      <c r="GY3" s="726"/>
      <c r="GZ3" s="726"/>
      <c r="HA3" s="726"/>
      <c r="HB3" s="726"/>
      <c r="HC3" s="726"/>
      <c r="HD3" s="727"/>
      <c r="HF3" s="725" t="s">
        <v>244</v>
      </c>
      <c r="HG3" s="726"/>
      <c r="HH3" s="726"/>
      <c r="HI3" s="726"/>
      <c r="HJ3" s="726"/>
      <c r="HK3" s="726"/>
      <c r="HL3" s="726"/>
      <c r="HM3" s="726"/>
      <c r="HN3" s="726"/>
      <c r="HO3" s="726"/>
      <c r="HP3" s="726"/>
      <c r="HQ3" s="726"/>
      <c r="HR3" s="726"/>
      <c r="HS3" s="727"/>
      <c r="HU3" s="725" t="s">
        <v>243</v>
      </c>
      <c r="HV3" s="726"/>
      <c r="HW3" s="726"/>
      <c r="HX3" s="726"/>
      <c r="HY3" s="726"/>
      <c r="HZ3" s="726"/>
      <c r="IA3" s="726"/>
      <c r="IB3" s="726"/>
      <c r="IC3" s="726"/>
      <c r="ID3" s="726"/>
      <c r="IE3" s="726"/>
      <c r="IF3" s="726"/>
      <c r="IG3" s="726"/>
      <c r="IH3" s="727"/>
      <c r="IJ3" s="725" t="s">
        <v>242</v>
      </c>
      <c r="IK3" s="726"/>
      <c r="IL3" s="726"/>
      <c r="IM3" s="726"/>
      <c r="IN3" s="726"/>
      <c r="IO3" s="726"/>
      <c r="IP3" s="726"/>
      <c r="IQ3" s="726"/>
      <c r="IR3" s="726"/>
      <c r="IS3" s="726"/>
      <c r="IT3" s="726"/>
      <c r="IU3" s="726"/>
      <c r="IV3" s="726"/>
      <c r="IW3" s="727"/>
      <c r="JG3" t="str">
        <f>TEXT('1 StrategyMix for CarbonTargets'!V46,"0%")</f>
        <v>80%</v>
      </c>
    </row>
    <row r="4" spans="1:280" ht="15" thickBot="1">
      <c r="A4" s="259"/>
      <c r="B4" s="247"/>
      <c r="C4" s="247"/>
      <c r="D4" s="247"/>
      <c r="E4" s="247"/>
      <c r="F4" s="247"/>
      <c r="J4" s="3"/>
      <c r="K4" s="3">
        <v>1</v>
      </c>
      <c r="L4" s="258">
        <f>-H3</f>
        <v>-0.05</v>
      </c>
      <c r="M4" s="400"/>
      <c r="N4" s="270"/>
      <c r="O4" s="254">
        <f>IF('1 StrategyMix for CarbonTargets'!V10="Rural",-H16,IF('1 StrategyMix for CarbonTargets'!V10="Peri urban",-I16,IF('1 StrategyMix for CarbonTargets'!V10="Urban",-J16,0)))</f>
        <v>-2.8799999999999999E-2</v>
      </c>
      <c r="P4" s="254">
        <f>IF('1 StrategyMix for CarbonTargets'!V10="Rural",-H19,IF('1 StrategyMix for CarbonTargets'!V10="Peri urban",-I19,IF('1 StrategyMix for CarbonTargets'!V10="Urban",-J19,0)))</f>
        <v>-7.000000000000001E-3</v>
      </c>
      <c r="Q4" s="254">
        <f>IF('1 StrategyMix for CarbonTargets'!V10="Rural",-H22,IF('1 StrategyMix for CarbonTargets'!V10="Peri urban",-I22,IF('1 StrategyMix for CarbonTargets'!V10="Urban",-J22,0)))</f>
        <v>-2.2499999999999999E-2</v>
      </c>
      <c r="R4" s="254">
        <f>IF('1 StrategyMix for CarbonTargets'!V10="Rural",-H25,IF('1 StrategyMix for CarbonTargets'!V10="Peri urban",-I25,IF('1 StrategyMix for CarbonTargets'!V10="Urban",-J25,0)))</f>
        <v>-6.7500000000000004E-2</v>
      </c>
      <c r="S4" s="252"/>
      <c r="T4" s="252">
        <f>IF('1 StrategyMix for CarbonTargets'!V10="Rural",-H31,IF('1 StrategyMix for CarbonTargets'!V10="Peri urban",-I31,IF('1 StrategyMix for CarbonTargets'!V10="Urban",-J31,0)))</f>
        <v>-5.0364963503649648E-2</v>
      </c>
      <c r="U4" s="252">
        <f>IF('1 StrategyMix for CarbonTargets'!V10="Rural",-H32,IF('1 StrategyMix for CarbonTargets'!V10="Peri urban",-I32,IF('1 StrategyMix for CarbonTargets'!V10="Urban",-J32,0)))</f>
        <v>-0.10437956204379562</v>
      </c>
      <c r="V4" s="252">
        <f>IF('1 StrategyMix for CarbonTargets'!V10="Rural",-H33,IF('1 StrategyMix for CarbonTargets'!V10="Peri urban",-I33,IF('1 StrategyMix for CarbonTargets'!V10="Urban",-J33,0)))</f>
        <v>-0.24525547445255474</v>
      </c>
      <c r="W4" s="252"/>
      <c r="X4" s="396"/>
      <c r="Y4" s="396"/>
      <c r="Z4" s="250">
        <f>IF(A50=0, IF('1 StrategyMix for CarbonTargets'!V10="Rural",-H37,IF('1 StrategyMix for CarbonTargets'!V10="Peri urban",-I37,IF('1 StrategyMix for CarbonTargets'!V10="Urban",-J37,0))),IF(A50=0.1,IF('1 StrategyMix for CarbonTargets'!V10="Rural",-H47,IF('1 StrategyMix for CarbonTargets'!V10="Peri urban",-I47,IF('1 StrategyMix for CarbonTargets'!V10="Urban",-J47,0))),IF(A50=0.2,IF('1 StrategyMix for CarbonTargets'!V10="Rural",-H57,IF('1 StrategyMix for CarbonTargets'!V10="Peri urban",-I57,IF('1 StrategyMix for CarbonTargets'!V10="Urban",-J57,0))),IF(A50=0.3,IF('1 StrategyMix for CarbonTargets'!V10="Rural",-H67,IF('1 StrategyMix for CarbonTargets'!V10="Peri urban",-I67,IF('1 StrategyMix for CarbonTargets'!V10="Urban",-J67,0))),0))))</f>
        <v>-8.4839999999999971E-2</v>
      </c>
      <c r="AA4" s="250">
        <f>-Z4*0.1</f>
        <v>8.4839999999999968E-3</v>
      </c>
      <c r="AB4" s="250">
        <f>IF(A50=0, IF('1 StrategyMix for CarbonTargets'!V10="Rural",-H38+H37-AA4,IF('1 StrategyMix for CarbonTargets'!V10="Peri urban",-I38+I37-AA4,IF('1 StrategyMix for CarbonTargets'!V10="Urban",-J38+J37-AA4,0))),IF(A50=0.1,IF('1 StrategyMix for CarbonTargets'!V10="Rural",-H48+H47-AA4,IF('1 StrategyMix for CarbonTargets'!V10="Peri urban",-I48+I47-AA4,IF('1 StrategyMix for CarbonTargets'!V10="Urban",-J48+J47-AA4,0))),IF(A50=0.2,IF('1 StrategyMix for CarbonTargets'!V10="Rural",-H58+H57-AA4,IF('1 StrategyMix for CarbonTargets'!V10="Peri urban",-I58+I57-AA4,IF('1 StrategyMix for CarbonTargets'!V10="Urban",-J58+J57-AA4,0))),IF(A50=0.3,IF('1 StrategyMix for CarbonTargets'!V10="Rural",-H68+J67-AA4,IF('1 StrategyMix for CarbonTargets'!V10="Peri urban",-I68+I67-AA4,IF('1 StrategyMix for CarbonTargets'!V10="Urban",-J68+J67-AA4,0))),0))))</f>
        <v>-3.8794749913043457E-2</v>
      </c>
      <c r="AC4" s="250">
        <f>-Z4*0.1</f>
        <v>8.4839999999999968E-3</v>
      </c>
      <c r="AD4" s="250">
        <f>IF(A50=0, IF('1 StrategyMix for CarbonTargets'!V10="Rural",-H39+H38-AC4,IF('1 StrategyMix for CarbonTargets'!V10="Peri urban",-I39+I38-AC4,IF('1 StrategyMix for CarbonTargets'!V10="Urban",-J39+J38-AC4,0))),IF(A50=0.1,IF('1 StrategyMix for CarbonTargets'!V10="Rural",-H49+H48-AC4,IF('1 StrategyMix for CarbonTargets'!V10="Peri urban",-I49+I48-AC4,IF('1 StrategyMix for CarbonTargets'!V10="Urban",-J49+J48-AC4,0))),IF(A50=0.2,IF('1 StrategyMix for CarbonTargets'!V10="Rural",-H59+H58-AC4,IF('1 StrategyMix for CarbonTargets'!V10="Peri urban",-I59+I58-AC4,IF('1 StrategyMix for CarbonTargets'!V10="Urban",-J59+J58-AC4,0))),IF(A50=0.3,IF('1 StrategyMix for CarbonTargets'!V10="Rural",-H69+H68-AC4,IF('1 StrategyMix for CarbonTargets'!V10="Peri urban",-I69+I68-AC4,IF('1 StrategyMix for CarbonTargets'!V10="Urban",-J69+J68-AC4,0))),0))))</f>
        <v>-3.8794749913043457E-2</v>
      </c>
      <c r="AE4" s="250">
        <f>-Z4*0.2</f>
        <v>1.6967999999999994E-2</v>
      </c>
      <c r="AF4" s="250">
        <f>IF(A50=0, IF('1 StrategyMix for CarbonTargets'!V10="Rural",-H40+H39-AE4,IF('1 StrategyMix for CarbonTargets'!V10="Peri urban",-I40+I39-AE4,IF('1 StrategyMix for CarbonTargets'!V10="Urban",-J40+J39-AE4,0))),IF(A50=0.1,IF('1 StrategyMix for CarbonTargets'!V10="Rural",-H50+H49-AE4,IF('1 StrategyMix for CarbonTargets'!V10="Peri urban",-I50+I49-AE4,IF('1 StrategyMix for CarbonTargets'!V10="Urban",-J50+J49-AE4,0))),IF(A50=0.2,IF('1 StrategyMix for CarbonTargets'!V10="Rural",-H60+H59-AE4,IF('1 StrategyMix for CarbonTargets'!V10="Peri urban",-I60+I59-AE4,IF('1 StrategyMix for CarbonTargets'!V10="Urban",-J60+J59-AE4,0))),IF(A50=0.3,IF('1 StrategyMix for CarbonTargets'!V10="Rural",-H70+H69-AE4,IF('1 StrategyMix for CarbonTargets'!V10="Peri urban",-I70+I69-AE4,IF('1 StrategyMix for CarbonTargets'!V10="Urban",-J70+J69-AE4,0))),0))))</f>
        <v>-7.7589499826087024E-2</v>
      </c>
      <c r="AG4" s="250">
        <f>-Z4*0.2</f>
        <v>1.6967999999999994E-2</v>
      </c>
      <c r="AH4" s="250">
        <f>IF(A50=0, IF('1 StrategyMix for CarbonTargets'!V10="Rural",-H41+H40-AG4,IF('1 StrategyMix for CarbonTargets'!V10="Peri urban",-I41+I40-AG4,IF('1 StrategyMix for CarbonTargets'!V10="Urban",-J41+J40-AG4,0))),IF(A50=0.1,IF('1 StrategyMix for CarbonTargets'!V10="Rural",-H51+H50-AG4,IF('1 StrategyMix for CarbonTargets'!V10="Peri urban",-I51+I50-AG4,IF('1 StrategyMix for CarbonTargets'!V10="Urban",-J51+J50-AG4,0))),IF(A50=0.2,IF('1 StrategyMix for CarbonTargets'!V10="Rural",-H61+H60-AG4,IF('1 StrategyMix for CarbonTargets'!V10="Peri urban",-I61+I60-AG4,IF('1 StrategyMix for CarbonTargets'!V10="Urban",-J61+J60-AG4,0))),IF(A50=0.3,IF('1 StrategyMix for CarbonTargets'!V10="Rural",-H71+H70-AG4,IF('1 StrategyMix for CarbonTargets'!V10="Peri urban",-I71+I70-AG4,IF('1 StrategyMix for CarbonTargets'!V10="Urban",-J71+J70-AG4,0))),0))))</f>
        <v>-7.7589499826086886E-2</v>
      </c>
      <c r="AI4" s="263">
        <f>-Z4*0.2</f>
        <v>1.6967999999999994E-2</v>
      </c>
      <c r="AJ4" s="263">
        <f>IF(A50=0, IF('1 StrategyMix for CarbonTargets'!V10="Rural",-H42+H41-AI4,IF('1 StrategyMix for CarbonTargets'!V10="Peri urban",-I42+I41-AI4,IF('1 StrategyMix for CarbonTargets'!V10="Urban",-J42+J41-AI4,0))),IF(A50=0.1,IF('1 StrategyMix for CarbonTargets'!V10="Rural",-H52+H51-AI4,IF('1 StrategyMix for CarbonTargets'!V10="Peri urban",-I52+I51-AI4,IF('1 StrategyMix for CarbonTargets'!V10="Urban",-J52+J51-AI4,0))),IF(A50=0.2,IF('1 StrategyMix for CarbonTargets'!V10="Rural",-H62+H61-AI4,IF('1 StrategyMix for CarbonTargets'!V10="Peri urban",-I62+I61-AI4,IF('1 StrategyMix for CarbonTargets'!V10="Urban",-J62+J61-AI4,0))),IF(A50=0.3,IF('1 StrategyMix for CarbonTargets'!V10="Rural",-H72+H71-AI4,IF('1 StrategyMix for CarbonTargets'!V10="Peri urban",-I72+I71-AI4,IF('1 StrategyMix for CarbonTargets'!V10="Urban",-J72+J71-AI4,0))),0))))</f>
        <v>-7.7589499826086997E-2</v>
      </c>
      <c r="AK4" s="263">
        <f>-Z4*0.2</f>
        <v>1.6967999999999994E-2</v>
      </c>
      <c r="AL4" s="263">
        <f>IF(A50=0, IF('1 StrategyMix for CarbonTargets'!V10="Rural",-H43+H42-AK4,IF('1 StrategyMix for CarbonTargets'!V10="Peri urban",-I43+I42-AK4,IF('1 StrategyMix for CarbonTargets'!V10="Urban",-J43+J42-AK4,0))),IF(A50=0.1,IF('1 StrategyMix for CarbonTargets'!V10="Rural",-H53+H52-AK4,IF('1 StrategyMix for CarbonTargets'!V10="Peri urban",-I53+I52-AK4,IF('1 StrategyMix for CarbonTargets'!V10="Urban",-J53+J52-AK4,0))),IF(A50=0.2,IF('1 StrategyMix for CarbonTargets'!V10="Rural",-H63+H62-AK4,IF('1 StrategyMix for CarbonTargets'!V10="Peri urban",-I63+I62-AK4,IF('1 StrategyMix for CarbonTargets'!V10="Urban",-J63+J62-AK4,0))),IF(A50=0.3,IF('1 StrategyMix for CarbonTargets'!V10="Rural",-H73+H72-AK4,IF('1 StrategyMix for CarbonTargets'!V10="Peri urban",-I73+I72-AK4,IF('1 StrategyMix for CarbonTargets'!V10="Urban",-J73+J72-AK4,0))),0))))</f>
        <v>-7.7589499826086941E-2</v>
      </c>
      <c r="AO4" s="89"/>
      <c r="AP4" s="5">
        <f>O4</f>
        <v>-2.8799999999999999E-2</v>
      </c>
      <c r="AQ4" s="5">
        <f>P4</f>
        <v>-7.000000000000001E-3</v>
      </c>
      <c r="AR4" s="5">
        <f>Q4</f>
        <v>-2.2499999999999999E-2</v>
      </c>
      <c r="AS4" s="5">
        <f>R4</f>
        <v>-6.7500000000000004E-2</v>
      </c>
      <c r="AU4" s="5">
        <f>T4</f>
        <v>-5.0364963503649648E-2</v>
      </c>
      <c r="AV4" s="5">
        <f>U4</f>
        <v>-0.10437956204379562</v>
      </c>
      <c r="AW4" s="5">
        <f>V4</f>
        <v>-0.24525547445255474</v>
      </c>
      <c r="AY4" s="5">
        <f t="shared" ref="AY4:BA4" si="1">Z4</f>
        <v>-8.4839999999999971E-2</v>
      </c>
      <c r="AZ4" s="5">
        <f t="shared" si="1"/>
        <v>8.4839999999999968E-3</v>
      </c>
      <c r="BA4" s="282">
        <f t="shared" si="1"/>
        <v>-3.8794749913043457E-2</v>
      </c>
      <c r="BB4" s="270">
        <f>AB4</f>
        <v>-3.8794749913043457E-2</v>
      </c>
      <c r="BC4" s="108"/>
      <c r="BD4" s="5">
        <f>AC4</f>
        <v>8.4839999999999968E-3</v>
      </c>
      <c r="BE4" s="282">
        <f>AD4</f>
        <v>-3.8794749913043457E-2</v>
      </c>
      <c r="BF4" s="282">
        <f>AD4</f>
        <v>-3.8794749913043457E-2</v>
      </c>
      <c r="BG4" s="108"/>
      <c r="BH4" s="5">
        <f>AE4</f>
        <v>1.6967999999999994E-2</v>
      </c>
      <c r="BI4" s="282">
        <f>AF4</f>
        <v>-7.7589499826087024E-2</v>
      </c>
      <c r="BJ4" s="270">
        <f>AF4</f>
        <v>-7.7589499826087024E-2</v>
      </c>
      <c r="BK4" s="108"/>
      <c r="BL4" s="5">
        <f>AG4</f>
        <v>1.6967999999999994E-2</v>
      </c>
      <c r="BM4" s="282">
        <f>AH4</f>
        <v>-7.7589499826086886E-2</v>
      </c>
      <c r="BN4" s="270">
        <f>AH4</f>
        <v>-7.7589499826086886E-2</v>
      </c>
      <c r="BO4" s="108"/>
      <c r="BP4" s="5">
        <f>AI4</f>
        <v>1.6967999999999994E-2</v>
      </c>
      <c r="BQ4" s="282">
        <f>AJ4</f>
        <v>-7.7589499826086997E-2</v>
      </c>
      <c r="BR4" s="270">
        <f>AJ4</f>
        <v>-7.7589499826086997E-2</v>
      </c>
      <c r="BS4" s="108"/>
      <c r="BT4" s="5">
        <f>AK4</f>
        <v>1.6967999999999994E-2</v>
      </c>
      <c r="BU4" s="282">
        <f>AL4</f>
        <v>-7.7589499826086941E-2</v>
      </c>
      <c r="BV4" s="270">
        <f>AL4</f>
        <v>-7.7589499826086941E-2</v>
      </c>
      <c r="BW4" s="108"/>
      <c r="BX4" s="5"/>
      <c r="BY4" s="5"/>
      <c r="BZ4" s="5"/>
      <c r="EX4" s="728"/>
      <c r="EY4" s="729"/>
      <c r="EZ4" s="729"/>
      <c r="FA4" s="729"/>
      <c r="FB4" s="729"/>
      <c r="FC4" s="729"/>
      <c r="FD4" s="729"/>
      <c r="FE4" s="729"/>
      <c r="FF4" s="729"/>
      <c r="FG4" s="729"/>
      <c r="FH4" s="729"/>
      <c r="FI4" s="729"/>
      <c r="FJ4" s="729"/>
      <c r="FK4" s="730"/>
      <c r="FM4" s="728"/>
      <c r="FN4" s="729"/>
      <c r="FO4" s="729"/>
      <c r="FP4" s="729"/>
      <c r="FQ4" s="729"/>
      <c r="FR4" s="729"/>
      <c r="FS4" s="729"/>
      <c r="FT4" s="729"/>
      <c r="FU4" s="729"/>
      <c r="FV4" s="729"/>
      <c r="FW4" s="729"/>
      <c r="FX4" s="729"/>
      <c r="FY4" s="729"/>
      <c r="FZ4" s="730"/>
      <c r="GB4" s="728"/>
      <c r="GC4" s="729"/>
      <c r="GD4" s="729"/>
      <c r="GE4" s="729"/>
      <c r="GF4" s="729"/>
      <c r="GG4" s="729"/>
      <c r="GH4" s="729"/>
      <c r="GI4" s="729"/>
      <c r="GJ4" s="729"/>
      <c r="GK4" s="729"/>
      <c r="GL4" s="729"/>
      <c r="GM4" s="729"/>
      <c r="GN4" s="729"/>
      <c r="GO4" s="730"/>
      <c r="GQ4" s="728"/>
      <c r="GR4" s="729"/>
      <c r="GS4" s="729"/>
      <c r="GT4" s="729"/>
      <c r="GU4" s="729"/>
      <c r="GV4" s="729"/>
      <c r="GW4" s="729"/>
      <c r="GX4" s="729"/>
      <c r="GY4" s="729"/>
      <c r="GZ4" s="729"/>
      <c r="HA4" s="729"/>
      <c r="HB4" s="729"/>
      <c r="HC4" s="729"/>
      <c r="HD4" s="730"/>
      <c r="HF4" s="728"/>
      <c r="HG4" s="729"/>
      <c r="HH4" s="729"/>
      <c r="HI4" s="729"/>
      <c r="HJ4" s="729"/>
      <c r="HK4" s="729"/>
      <c r="HL4" s="729"/>
      <c r="HM4" s="729"/>
      <c r="HN4" s="729"/>
      <c r="HO4" s="729"/>
      <c r="HP4" s="729"/>
      <c r="HQ4" s="729"/>
      <c r="HR4" s="729"/>
      <c r="HS4" s="730"/>
      <c r="HU4" s="728"/>
      <c r="HV4" s="729"/>
      <c r="HW4" s="729"/>
      <c r="HX4" s="729"/>
      <c r="HY4" s="729"/>
      <c r="HZ4" s="729"/>
      <c r="IA4" s="729"/>
      <c r="IB4" s="729"/>
      <c r="IC4" s="729"/>
      <c r="ID4" s="729"/>
      <c r="IE4" s="729"/>
      <c r="IF4" s="729"/>
      <c r="IG4" s="729"/>
      <c r="IH4" s="730"/>
      <c r="IJ4" s="728"/>
      <c r="IK4" s="729"/>
      <c r="IL4" s="729"/>
      <c r="IM4" s="729"/>
      <c r="IN4" s="729"/>
      <c r="IO4" s="729"/>
      <c r="IP4" s="729"/>
      <c r="IQ4" s="729"/>
      <c r="IR4" s="729"/>
      <c r="IS4" s="729"/>
      <c r="IT4" s="729"/>
      <c r="IU4" s="729"/>
      <c r="IV4" s="729"/>
      <c r="IW4" s="730"/>
    </row>
    <row r="5" spans="1:280" ht="15" thickBot="1">
      <c r="A5" s="692" t="s">
        <v>263</v>
      </c>
      <c r="B5" s="692"/>
      <c r="C5" s="692"/>
      <c r="D5" s="692"/>
      <c r="E5" s="692"/>
      <c r="F5" s="692"/>
      <c r="J5" s="3"/>
      <c r="K5" s="3"/>
      <c r="L5" s="315"/>
      <c r="M5" s="271"/>
      <c r="N5" s="271"/>
      <c r="O5" s="315"/>
      <c r="P5" s="315"/>
      <c r="Q5" s="315"/>
      <c r="R5" s="315"/>
      <c r="S5" s="271"/>
      <c r="T5" s="315"/>
      <c r="U5" s="315"/>
      <c r="V5" s="315"/>
      <c r="W5" s="271"/>
      <c r="X5" s="271"/>
      <c r="Y5" s="271"/>
      <c r="Z5" s="315"/>
      <c r="AA5" s="315" t="s">
        <v>179</v>
      </c>
      <c r="AB5" s="273">
        <f>IF(A50=0, IF('1 StrategyMix for CarbonTargets'!V10="Rural",-O38+O37-AA4,IF('1 StrategyMix for CarbonTargets'!V10="Peri urban",-P38+P37-AA4,IF('1 StrategyMix for CarbonTargets'!V10="Urban",-Q38+Q37-AA4,0))),IF(A50=0.1,IF('1 StrategyMix for CarbonTargets'!V10="Rural",-O48+O47-AA4,IF('1 StrategyMix for CarbonTargets'!V10="Peri urban",-P48+P47-AA4,IF('1 StrategyMix for CarbonTargets'!V10="Urban",-Q48+Q47-AA4,0))),IF(A50=0.2,IF('1 StrategyMix for CarbonTargets'!V10="Rural",-O58+O57-AA4,IF('1 StrategyMix for CarbonTargets'!V10="Peri urban",-P58+P57-AA4,IF('1 StrategyMix for CarbonTargets'!V10="Urban",-Q58+Q57-AA4,0))),IF(A50=0.3,IF('1 StrategyMix for CarbonTargets'!V10="Rural",-O68+Q67-AA4,IF('1 StrategyMix for CarbonTargets'!V10="Peri urban",-P68+P67-AA4,IF('1 StrategyMix for CarbonTargets'!V10="Urban",-Q68+Q67-AA4,0))),0))))</f>
        <v>-1.9831903304347802E-2</v>
      </c>
      <c r="AC5" s="315"/>
      <c r="AD5" s="273">
        <f>IF(A50=0, IF('1 StrategyMix for CarbonTargets'!V10="Rural",-O39+O38-AC4,IF('1 StrategyMix for CarbonTargets'!V10="Peri urban",-P39+P38-AC4,IF('1 StrategyMix for CarbonTargets'!V10="Urban",-Q39+Q38-AC4,0))),IF(A50=0.1,IF('1 StrategyMix for CarbonTargets'!V10="Rural",-O49+O48-AC4,IF('1 StrategyMix for CarbonTargets'!V10="Peri urban",-P49+P48-AC4,IF('1 StrategyMix for CarbonTargets'!V10="Urban",-Q49+Q48-AC4,0))),IF(A50=0.2,IF('1 StrategyMix for CarbonTargets'!V10="Rural",-O59+O58-AC4,IF('1 StrategyMix for CarbonTargets'!V10="Peri urban",-P59+P58-AC4,IF('1 StrategyMix for CarbonTargets'!V10="Urban",-Q59+Q58-AC4,0))),IF(A50=0.3,IF('1 StrategyMix for CarbonTargets'!V10="Rural",-O69+O68-AC4,IF('1 StrategyMix for CarbonTargets'!V10="Peri urban",-P69+P68-AC4,IF('1 StrategyMix for CarbonTargets'!V10="Urban",-Q69+Q68-AC4,0))),0))))</f>
        <v>-1.9831903304347843E-2</v>
      </c>
      <c r="AE5" s="315"/>
      <c r="AF5" s="273">
        <f>IF(A50=0, IF('1 StrategyMix for CarbonTargets'!V10="Rural",-O40+O39-AE4,IF('1 StrategyMix for CarbonTargets'!V10="Peri urban",-P40+P39-AE4,IF('1 StrategyMix for CarbonTargets'!V10="Urban",-Q40+Q39-AE4,0))),IF(A50=0.1,IF('1 StrategyMix for CarbonTargets'!V10="Rural",-O50+O49-AE4,IF('1 StrategyMix for CarbonTargets'!V10="Peri urban",-P50+P49-AE4,IF('1 StrategyMix for CarbonTargets'!V10="Urban",-Q50+Q49-AE4,0))),IF(A50=0.2,IF('1 StrategyMix for CarbonTargets'!V10="Rural",-O60+O59-AE4,IF('1 StrategyMix for CarbonTargets'!V10="Peri urban",-P60+P59-AE4,IF('1 StrategyMix for CarbonTargets'!V10="Urban",-Q60+Q59-AE4,0))),IF(A50=0.3,IF('1 StrategyMix for CarbonTargets'!V10="Rural",-O70+O69-AE4,IF('1 StrategyMix for CarbonTargets'!V10="Peri urban",-P70+P69-AE4,IF('1 StrategyMix for CarbonTargets'!V10="Urban",-Q70+Q69-AE4,0))),0))))</f>
        <v>-3.9663806608695673E-2</v>
      </c>
      <c r="AG5" s="315"/>
      <c r="AH5" s="273">
        <f>IF(A50=0, IF('1 StrategyMix for CarbonTargets'!V10="Rural",-O41+O40-AG4,IF('1 StrategyMix for CarbonTargets'!V10="Peri urban",-P41+P40-AG4,IF('1 StrategyMix for CarbonTargets'!V10="Urban",-Q41+Q40-AG4,0))),IF(A50=0.1,IF('1 StrategyMix for CarbonTargets'!V10="Rural",-O51+O50-AG4,IF('1 StrategyMix for CarbonTargets'!V10="Peri urban",-P51+P50-AG4,IF('1 StrategyMix for CarbonTargets'!V10="Urban",-Q51+Q50-AG4,0))),IF(A50=0.2,IF('1 StrategyMix for CarbonTargets'!V10="Rural",-O61+O60-AG4,IF('1 StrategyMix for CarbonTargets'!V10="Peri urban",-P61+P60-AG4,IF('1 StrategyMix for CarbonTargets'!V10="Urban",-Q61+Q60-AG4,0))),IF(A50=0.3,IF('1 StrategyMix for CarbonTargets'!V10="Rural",-O71+O70-AG4,IF('1 StrategyMix for CarbonTargets'!V10="Peri urban",-P71+P70-AG4,IF('1 StrategyMix for CarbonTargets'!V10="Urban",-Q71+Q70-AG4,0))),0))))</f>
        <v>-3.9663806608695631E-2</v>
      </c>
      <c r="AI5" s="271"/>
      <c r="AJ5" s="273">
        <f>IF(A50=0, IF('1 StrategyMix for CarbonTargets'!V10="Rural",-O42+O41-AI4,IF('1 StrategyMix for CarbonTargets'!V10="Peri urban",-P42+P41-AI4,IF('1 StrategyMix for CarbonTargets'!V10="Urban",-Q42+Q41-AI4,0))),IF(A50=0.1,IF('1 StrategyMix for CarbonTargets'!V10="Rural",-O52+O51-AI4,IF('1 StrategyMix for CarbonTargets'!V10="Peri urban",-P52+P51-AI4,IF('1 StrategyMix for CarbonTargets'!V10="Urban",-Q52+Q51-AI4,0))),IF(A50=0.2,IF('1 StrategyMix for CarbonTargets'!V10="Rural",-O62+O61-AI4,IF('1 StrategyMix for CarbonTargets'!V10="Peri urban",-P62+P61-AI4,IF('1 StrategyMix for CarbonTargets'!V10="Urban",-Q62+Q61-AI4,0))),IF(A50=0.3,IF('1 StrategyMix for CarbonTargets'!V10="Rural",-O72+O71-AI4,IF('1 StrategyMix for CarbonTargets'!V10="Peri urban",-P72+P71-AI4,IF('1 StrategyMix for CarbonTargets'!V10="Urban",-Q72+Q71-AI4,0))),0))))</f>
        <v>-3.9663806608695687E-2</v>
      </c>
      <c r="AK5" s="271"/>
      <c r="AL5" s="272">
        <f>IF(A50=0, IF('1 StrategyMix for CarbonTargets'!V10="Rural",-O43+O42-AK4,IF('1 StrategyMix for CarbonTargets'!V10="Peri urban",-P43+P42-AK4,IF('1 StrategyMix for CarbonTargets'!V10="Urban",-Q43+Q42-AK4,0))),IF(A50=0.1,IF('1 StrategyMix for CarbonTargets'!V10="Rural",-O53+O52-AK4,IF('1 StrategyMix for CarbonTargets'!V10="Peri urban",-P53+P52-AK4,IF('1 StrategyMix for CarbonTargets'!V10="Urban",-Q53+Q52-AK4,0))),IF(A50=0.2,IF('1 StrategyMix for CarbonTargets'!V10="Rural",-O63+O62-AK4,IF('1 StrategyMix for CarbonTargets'!V10="Peri urban",-P63+P62-AK4,IF('1 StrategyMix for CarbonTargets'!V10="Urban",-Q63+Q62-AK4,0))),IF(A50=0.3,IF('1 StrategyMix for CarbonTargets'!V10="Rural",-O73+O72-AK4,IF('1 StrategyMix for CarbonTargets'!V10="Peri urban",-P73+P72-AK4,IF('1 StrategyMix for CarbonTargets'!V10="Urban",-Q73+Q72-AK4,0))),0))))</f>
        <v>-3.9663806608695631E-2</v>
      </c>
      <c r="AO5" s="89"/>
      <c r="BA5" s="283"/>
      <c r="BB5" s="271"/>
      <c r="BC5" s="240"/>
      <c r="BE5" s="283"/>
      <c r="BF5" s="271"/>
      <c r="BG5" s="240"/>
      <c r="BI5" s="283"/>
      <c r="BJ5" s="271"/>
      <c r="BK5" s="240"/>
      <c r="BM5" s="283"/>
      <c r="BN5" s="271"/>
      <c r="BO5" s="240"/>
      <c r="BQ5" s="283"/>
      <c r="BR5" s="271"/>
      <c r="BS5" s="240"/>
      <c r="BU5" s="283"/>
      <c r="BV5" s="271"/>
      <c r="BW5" s="240"/>
      <c r="EX5" s="89"/>
      <c r="EY5" s="349" t="s">
        <v>246</v>
      </c>
      <c r="EZ5" s="371">
        <f>EY5+0.0001</f>
        <v>1.0001</v>
      </c>
      <c r="FA5" s="371">
        <f t="shared" ref="FA5:FK5" si="2">EZ5+0.0001</f>
        <v>1.0002</v>
      </c>
      <c r="FB5" s="371">
        <f t="shared" si="2"/>
        <v>1.0003</v>
      </c>
      <c r="FC5" s="371">
        <f t="shared" si="2"/>
        <v>1.0004</v>
      </c>
      <c r="FD5" s="371">
        <f t="shared" si="2"/>
        <v>1.0004999999999999</v>
      </c>
      <c r="FE5" s="371">
        <f t="shared" si="2"/>
        <v>1.0005999999999999</v>
      </c>
      <c r="FF5" s="371">
        <f t="shared" si="2"/>
        <v>1.0006999999999999</v>
      </c>
      <c r="FG5" s="371">
        <f t="shared" si="2"/>
        <v>1.0007999999999999</v>
      </c>
      <c r="FH5" s="371">
        <f t="shared" si="2"/>
        <v>1.0008999999999999</v>
      </c>
      <c r="FI5" s="371">
        <f t="shared" si="2"/>
        <v>1.0009999999999999</v>
      </c>
      <c r="FJ5" s="371">
        <f t="shared" si="2"/>
        <v>1.0010999999999999</v>
      </c>
      <c r="FK5" s="558">
        <f t="shared" si="2"/>
        <v>1.0011999999999999</v>
      </c>
      <c r="FM5" s="228"/>
      <c r="FN5" s="349" t="s">
        <v>247</v>
      </c>
      <c r="FO5" s="371">
        <f>FN5+0.0001</f>
        <v>0.80010000000000003</v>
      </c>
      <c r="FP5" s="371">
        <f t="shared" ref="FP5:FZ5" si="3">FO5+0.0001</f>
        <v>0.80020000000000002</v>
      </c>
      <c r="FQ5" s="371">
        <f t="shared" si="3"/>
        <v>0.80030000000000001</v>
      </c>
      <c r="FR5" s="371">
        <f t="shared" si="3"/>
        <v>0.8004</v>
      </c>
      <c r="FS5" s="371">
        <f t="shared" si="3"/>
        <v>0.80049999999999999</v>
      </c>
      <c r="FT5" s="371">
        <f t="shared" si="3"/>
        <v>0.80059999999999998</v>
      </c>
      <c r="FU5" s="371">
        <f t="shared" si="3"/>
        <v>0.80069999999999997</v>
      </c>
      <c r="FV5" s="371">
        <f t="shared" si="3"/>
        <v>0.80079999999999996</v>
      </c>
      <c r="FW5" s="371">
        <f t="shared" si="3"/>
        <v>0.80089999999999995</v>
      </c>
      <c r="FX5" s="371">
        <f t="shared" si="3"/>
        <v>0.80099999999999993</v>
      </c>
      <c r="FY5" s="371">
        <f t="shared" si="3"/>
        <v>0.80109999999999992</v>
      </c>
      <c r="FZ5" s="558">
        <f t="shared" si="3"/>
        <v>0.80119999999999991</v>
      </c>
      <c r="GB5" s="89"/>
      <c r="GC5" s="349" t="s">
        <v>248</v>
      </c>
      <c r="GD5" s="371">
        <f>GC5+0.0001</f>
        <v>0.60009999999999997</v>
      </c>
      <c r="GE5" s="371">
        <f t="shared" ref="GE5:GO5" si="4">GD5+0.0001</f>
        <v>0.60019999999999996</v>
      </c>
      <c r="GF5" s="371">
        <f t="shared" si="4"/>
        <v>0.60029999999999994</v>
      </c>
      <c r="GG5" s="371">
        <f t="shared" si="4"/>
        <v>0.60039999999999993</v>
      </c>
      <c r="GH5" s="371">
        <f t="shared" si="4"/>
        <v>0.60049999999999992</v>
      </c>
      <c r="GI5" s="371">
        <f t="shared" si="4"/>
        <v>0.60059999999999991</v>
      </c>
      <c r="GJ5" s="371">
        <f t="shared" si="4"/>
        <v>0.6006999999999999</v>
      </c>
      <c r="GK5" s="371">
        <f t="shared" si="4"/>
        <v>0.60079999999999989</v>
      </c>
      <c r="GL5" s="371">
        <f t="shared" si="4"/>
        <v>0.60089999999999988</v>
      </c>
      <c r="GM5" s="371">
        <f t="shared" si="4"/>
        <v>0.60099999999999987</v>
      </c>
      <c r="GN5" s="371">
        <f t="shared" si="4"/>
        <v>0.60109999999999986</v>
      </c>
      <c r="GO5" s="558">
        <f t="shared" si="4"/>
        <v>0.60119999999999985</v>
      </c>
      <c r="GQ5" s="89"/>
      <c r="GR5" s="349" t="s">
        <v>249</v>
      </c>
      <c r="GS5" s="371">
        <f>GR5+0.0001</f>
        <v>0.40010000000000001</v>
      </c>
      <c r="GT5" s="371">
        <f t="shared" ref="GT5:HD5" si="5">GS5+0.0001</f>
        <v>0.4002</v>
      </c>
      <c r="GU5" s="371">
        <f t="shared" si="5"/>
        <v>0.40029999999999999</v>
      </c>
      <c r="GV5" s="371">
        <f t="shared" si="5"/>
        <v>0.40039999999999998</v>
      </c>
      <c r="GW5" s="371">
        <f t="shared" si="5"/>
        <v>0.40049999999999997</v>
      </c>
      <c r="GX5" s="371">
        <f t="shared" si="5"/>
        <v>0.40059999999999996</v>
      </c>
      <c r="GY5" s="371">
        <f t="shared" si="5"/>
        <v>0.40069999999999995</v>
      </c>
      <c r="GZ5" s="371">
        <f t="shared" si="5"/>
        <v>0.40079999999999993</v>
      </c>
      <c r="HA5" s="371">
        <f t="shared" si="5"/>
        <v>0.40089999999999992</v>
      </c>
      <c r="HB5" s="371">
        <f t="shared" si="5"/>
        <v>0.40099999999999991</v>
      </c>
      <c r="HC5" s="371">
        <f t="shared" si="5"/>
        <v>0.4010999999999999</v>
      </c>
      <c r="HD5" s="558">
        <f t="shared" si="5"/>
        <v>0.40119999999999989</v>
      </c>
      <c r="HF5" s="89"/>
      <c r="HG5" s="349" t="s">
        <v>250</v>
      </c>
      <c r="HH5" s="371">
        <f>HG5+0.0001</f>
        <v>0.2001</v>
      </c>
      <c r="HI5" s="371">
        <f t="shared" ref="HI5:HS5" si="6">HH5+0.0001</f>
        <v>0.20019999999999999</v>
      </c>
      <c r="HJ5" s="371">
        <f t="shared" si="6"/>
        <v>0.20029999999999998</v>
      </c>
      <c r="HK5" s="371">
        <f t="shared" si="6"/>
        <v>0.20039999999999997</v>
      </c>
      <c r="HL5" s="371">
        <f t="shared" si="6"/>
        <v>0.20049999999999996</v>
      </c>
      <c r="HM5" s="371">
        <f t="shared" si="6"/>
        <v>0.20059999999999995</v>
      </c>
      <c r="HN5" s="371">
        <f t="shared" si="6"/>
        <v>0.20069999999999993</v>
      </c>
      <c r="HO5" s="371">
        <f t="shared" si="6"/>
        <v>0.20079999999999992</v>
      </c>
      <c r="HP5" s="371">
        <f t="shared" si="6"/>
        <v>0.20089999999999991</v>
      </c>
      <c r="HQ5" s="371">
        <f t="shared" si="6"/>
        <v>0.2009999999999999</v>
      </c>
      <c r="HR5" s="371">
        <f t="shared" si="6"/>
        <v>0.20109999999999989</v>
      </c>
      <c r="HS5" s="558">
        <f t="shared" si="6"/>
        <v>0.20119999999999988</v>
      </c>
      <c r="HU5" s="89"/>
      <c r="HV5" s="349" t="s">
        <v>251</v>
      </c>
      <c r="HW5" s="371">
        <f>HV5+0.0001</f>
        <v>0.10010000000000001</v>
      </c>
      <c r="HX5" s="371">
        <f t="shared" ref="HX5:IH5" si="7">HW5+0.0001</f>
        <v>0.10020000000000001</v>
      </c>
      <c r="HY5" s="371">
        <f t="shared" si="7"/>
        <v>0.10030000000000001</v>
      </c>
      <c r="HZ5" s="371">
        <f t="shared" si="7"/>
        <v>0.10040000000000002</v>
      </c>
      <c r="IA5" s="371">
        <f t="shared" si="7"/>
        <v>0.10050000000000002</v>
      </c>
      <c r="IB5" s="371">
        <f t="shared" si="7"/>
        <v>0.10060000000000002</v>
      </c>
      <c r="IC5" s="371">
        <f t="shared" si="7"/>
        <v>0.10070000000000003</v>
      </c>
      <c r="ID5" s="371">
        <f t="shared" si="7"/>
        <v>0.10080000000000003</v>
      </c>
      <c r="IE5" s="371">
        <f t="shared" si="7"/>
        <v>0.10090000000000003</v>
      </c>
      <c r="IF5" s="371">
        <f t="shared" si="7"/>
        <v>0.10100000000000003</v>
      </c>
      <c r="IG5" s="371">
        <f t="shared" si="7"/>
        <v>0.10110000000000004</v>
      </c>
      <c r="IH5" s="558">
        <f t="shared" si="7"/>
        <v>0.10120000000000004</v>
      </c>
      <c r="IJ5" s="89"/>
      <c r="IK5" s="349" t="s">
        <v>252</v>
      </c>
      <c r="IL5" s="371">
        <f>IK5+0.0001</f>
        <v>1E-4</v>
      </c>
      <c r="IM5" s="371">
        <f t="shared" ref="IM5:IW5" si="8">IL5+0.0001</f>
        <v>2.0000000000000001E-4</v>
      </c>
      <c r="IN5" s="371">
        <f t="shared" si="8"/>
        <v>3.0000000000000003E-4</v>
      </c>
      <c r="IO5" s="371">
        <f t="shared" si="8"/>
        <v>4.0000000000000002E-4</v>
      </c>
      <c r="IP5" s="371">
        <f t="shared" si="8"/>
        <v>5.0000000000000001E-4</v>
      </c>
      <c r="IQ5" s="371">
        <f t="shared" si="8"/>
        <v>6.0000000000000006E-4</v>
      </c>
      <c r="IR5" s="371">
        <f t="shared" si="8"/>
        <v>7.000000000000001E-4</v>
      </c>
      <c r="IS5" s="371">
        <f t="shared" si="8"/>
        <v>8.0000000000000015E-4</v>
      </c>
      <c r="IT5" s="371">
        <f t="shared" si="8"/>
        <v>9.0000000000000019E-4</v>
      </c>
      <c r="IU5" s="371">
        <f t="shared" si="8"/>
        <v>1.0000000000000002E-3</v>
      </c>
      <c r="IV5" s="371">
        <f t="shared" si="8"/>
        <v>1.1000000000000003E-3</v>
      </c>
      <c r="IW5" s="558">
        <f t="shared" si="8"/>
        <v>1.2000000000000003E-3</v>
      </c>
    </row>
    <row r="6" spans="1:280" ht="58" customHeight="1">
      <c r="A6" s="356">
        <f>'1 StrategyMix for CarbonTargets'!V8</f>
        <v>0.1</v>
      </c>
      <c r="B6" s="247"/>
      <c r="C6" s="247"/>
      <c r="D6" s="247"/>
      <c r="E6" s="247"/>
      <c r="F6" s="247"/>
      <c r="J6" s="316">
        <v>2030</v>
      </c>
      <c r="K6" s="317">
        <v>1</v>
      </c>
      <c r="L6" s="317">
        <f>-H3</f>
        <v>-0.05</v>
      </c>
      <c r="M6" s="317">
        <f>(A6/30)*10</f>
        <v>3.3333333333333333E-2</v>
      </c>
      <c r="N6" s="317"/>
      <c r="O6" s="319">
        <f>AP20*(1+$M$6)</f>
        <v>-9.9200000000000017E-3</v>
      </c>
      <c r="P6" s="319">
        <f>AQ20*(1+$M$6)</f>
        <v>-2.0666666666666672E-3</v>
      </c>
      <c r="Q6" s="319">
        <f>AR20*(1+$M$6)</f>
        <v>-5.3653846153846147E-3</v>
      </c>
      <c r="R6" s="319">
        <f>AS20*(1+$M$6)</f>
        <v>-4.650000000000002E-2</v>
      </c>
      <c r="S6" s="318"/>
      <c r="T6" s="319">
        <f>AU20*(1+$M$6)</f>
        <v>-1.7347931873479324E-2</v>
      </c>
      <c r="U6" s="319">
        <f>AV20*(1+$M$6)</f>
        <v>-3.5952960259529605E-2</v>
      </c>
      <c r="V6" s="319">
        <f>AW20*(1+$M$6)</f>
        <v>-0.1689537712895377</v>
      </c>
      <c r="W6" s="318"/>
      <c r="X6" s="397">
        <f>BX20*(1+$M$6)</f>
        <v>-1.99401725490196E-2</v>
      </c>
      <c r="Y6" s="397">
        <f>BY20*(1+$M$6)</f>
        <v>-9.6087516135265713E-2</v>
      </c>
      <c r="Z6" s="319">
        <f>AY20*(1+$M$6)</f>
        <v>-5.1569411764705864E-2</v>
      </c>
      <c r="AA6" s="319">
        <f>AZ20*(1+$M$6)</f>
        <v>4.1255529411764694E-3</v>
      </c>
      <c r="AB6" s="319">
        <f>BC20*(1+$M$6)</f>
        <v>-1.2010939516908202E-2</v>
      </c>
      <c r="AC6" s="319">
        <f>BD20*(1+$M$6)</f>
        <v>4.1255529411764694E-3</v>
      </c>
      <c r="AD6" s="319">
        <f>BG20*(1+$M$6)</f>
        <v>-1.2010939516908223E-2</v>
      </c>
      <c r="AE6" s="319">
        <f>BH20*(1+$M$6)</f>
        <v>7.7927111111111089E-3</v>
      </c>
      <c r="AF6" s="319">
        <f>BK20*(1+$M$6)</f>
        <v>-2.4021879033816442E-2</v>
      </c>
      <c r="AG6" s="319">
        <f>BL20*(1+$M$6)</f>
        <v>7.7927111111111089E-3</v>
      </c>
      <c r="AH6" s="319">
        <f>BO20*(1+$M$6)</f>
        <v>-2.4021879033816414E-2</v>
      </c>
      <c r="AI6" s="320">
        <f>BP20*(1+$M$6)</f>
        <v>7.7927111111111089E-3</v>
      </c>
      <c r="AJ6" s="319">
        <f>BS20*(1+$M$6)</f>
        <v>-2.4021879033816442E-2</v>
      </c>
      <c r="AK6" s="320">
        <f>BT20*(1+$M$6)</f>
        <v>7.7927111111111089E-3</v>
      </c>
      <c r="AL6" s="321">
        <f>BW20*(1+$M$6)</f>
        <v>-2.4021879033816418E-2</v>
      </c>
      <c r="AM6" s="321">
        <f>BX20*(1+$M$6)</f>
        <v>-1.99401725490196E-2</v>
      </c>
      <c r="AN6" s="321">
        <f>BY20*(1+$M$6)</f>
        <v>-9.6087516135265713E-2</v>
      </c>
      <c r="AO6" s="326" t="s">
        <v>169</v>
      </c>
      <c r="AP6" s="322">
        <f>IF('3 Adjust Strategy Timings '!Z11&gt;0,'3 Adjust Strategy Timings '!Z11,'1 StrategyMix for CarbonTargets'!Y17)</f>
        <v>2021</v>
      </c>
      <c r="AQ6" s="322">
        <f>IF('3 Adjust Strategy Timings '!Z13&gt;0,'3 Adjust Strategy Timings '!Z13,'1 StrategyMix for CarbonTargets'!Y19)</f>
        <v>2023</v>
      </c>
      <c r="AR6" s="322">
        <f>IF('3 Adjust Strategy Timings '!Z16&gt;0,'3 Adjust Strategy Timings '!Z16,'1 StrategyMix for CarbonTargets'!Y22)</f>
        <v>2025</v>
      </c>
      <c r="AS6" s="322">
        <f>IF('3 Adjust Strategy Timings '!Z19&gt;0,'3 Adjust Strategy Timings '!Z19,'1 StrategyMix for CarbonTargets'!Y25)</f>
        <v>2021</v>
      </c>
      <c r="AT6" s="322"/>
      <c r="AU6" s="322">
        <f>IF('3 Adjust Strategy Timings '!Z23&gt;0,'3 Adjust Strategy Timings '!Z23,'1 StrategyMix for CarbonTargets'!Y29)</f>
        <v>2021</v>
      </c>
      <c r="AV6" s="322">
        <f>IF('3 Adjust Strategy Timings '!Z25&gt;0,'3 Adjust Strategy Timings '!Z25,'1 StrategyMix for CarbonTargets'!Y31)</f>
        <v>2021</v>
      </c>
      <c r="AW6" s="322">
        <f>IF('3 Adjust Strategy Timings '!Z27&gt;0,'3 Adjust Strategy Timings '!Z27,'1 StrategyMix for CarbonTargets'!Y33)</f>
        <v>2021</v>
      </c>
      <c r="AX6" s="322"/>
      <c r="AY6" s="322">
        <f>IF('3 Adjust Strategy Timings '!Z34&gt;0,'3 Adjust Strategy Timings '!Z34,'1 StrategyMix for CarbonTargets'!Y40)</f>
        <v>2021</v>
      </c>
      <c r="AZ6" s="322">
        <f>IF('3 Adjust Strategy Timings '!Z40&gt;0,'3 Adjust Strategy Timings '!Z40,'1 StrategyMix for CarbonTargets'!Y46)</f>
        <v>2023</v>
      </c>
      <c r="BA6" s="323">
        <f>IF('3 Adjust Strategy Timings '!Z32&gt;0,'3 Adjust Strategy Timings '!Z32,'1 StrategyMix for CarbonTargets'!Y38)</f>
        <v>2021</v>
      </c>
      <c r="BB6" s="318">
        <f>IF('3 Adjust Strategy Timings '!Z40&gt;0,'3 Adjust Strategy Timings '!Z40,'1 StrategyMix for CarbonTargets'!Y46)</f>
        <v>2023</v>
      </c>
      <c r="BC6" s="324"/>
      <c r="BD6" s="322">
        <f>IF('3 Adjust Strategy Timings '!Z40&gt;0,'3 Adjust Strategy Timings '!Z40,'1 StrategyMix for CarbonTargets'!Y46)</f>
        <v>2023</v>
      </c>
      <c r="BE6" s="323">
        <f>IF('3 Adjust Strategy Timings '!Z32&gt;0,'3 Adjust Strategy Timings '!Z32,'1 StrategyMix for CarbonTargets'!Y38)</f>
        <v>2021</v>
      </c>
      <c r="BF6" s="318">
        <f>IF('3 Adjust Strategy Timings '!Z40&gt;0,'3 Adjust Strategy Timings '!Z40,'1 StrategyMix for CarbonTargets'!Y46)</f>
        <v>2023</v>
      </c>
      <c r="BG6" s="324"/>
      <c r="BH6" s="322">
        <f>IF('3 Adjust Strategy Timings '!Z40&gt;0,'3 Adjust Strategy Timings '!Z40,'1 StrategyMix for CarbonTargets'!Y46)</f>
        <v>2023</v>
      </c>
      <c r="BI6" s="323">
        <f>IF('3 Adjust Strategy Timings '!Z32&gt;0,'3 Adjust Strategy Timings '!Z32,'1 StrategyMix for CarbonTargets'!Y38)</f>
        <v>2021</v>
      </c>
      <c r="BJ6" s="318">
        <f>IF('3 Adjust Strategy Timings '!Z40&gt;0,'3 Adjust Strategy Timings '!Z40,'1 StrategyMix for CarbonTargets'!Y46)</f>
        <v>2023</v>
      </c>
      <c r="BK6" s="324"/>
      <c r="BL6" s="322">
        <f>IF('3 Adjust Strategy Timings '!Z40&gt;0,'3 Adjust Strategy Timings '!Z40,'1 StrategyMix for CarbonTargets'!Y46)</f>
        <v>2023</v>
      </c>
      <c r="BM6" s="323">
        <f>IF('3 Adjust Strategy Timings '!Z32&gt;0,'3 Adjust Strategy Timings '!Z32,'1 StrategyMix for CarbonTargets'!Y38)</f>
        <v>2021</v>
      </c>
      <c r="BN6" s="318">
        <f>IF('3 Adjust Strategy Timings '!Z40&gt;0,'3 Adjust Strategy Timings '!Z40,'1 StrategyMix for CarbonTargets'!Y46)</f>
        <v>2023</v>
      </c>
      <c r="BO6" s="324"/>
      <c r="BP6" s="322">
        <f>IF('3 Adjust Strategy Timings '!Z40&gt;0,'3 Adjust Strategy Timings '!Z40,'1 StrategyMix for CarbonTargets'!Y46)</f>
        <v>2023</v>
      </c>
      <c r="BQ6" s="323">
        <f>IF('3 Adjust Strategy Timings '!Z32&gt;0,'3 Adjust Strategy Timings '!Z32,'1 StrategyMix for CarbonTargets'!Y38)</f>
        <v>2021</v>
      </c>
      <c r="BR6" s="318">
        <f>IF('3 Adjust Strategy Timings '!Z40&gt;0,'3 Adjust Strategy Timings '!Z40,'1 StrategyMix for CarbonTargets'!Y46)</f>
        <v>2023</v>
      </c>
      <c r="BS6" s="324"/>
      <c r="BT6" s="322">
        <f>IF('3 Adjust Strategy Timings '!Z40&gt;0,'3 Adjust Strategy Timings '!Z40,'1 StrategyMix for CarbonTargets'!Y46)</f>
        <v>2023</v>
      </c>
      <c r="BU6" s="323">
        <f>IF('3 Adjust Strategy Timings '!Z32&gt;0,'3 Adjust Strategy Timings '!Z32,'1 StrategyMix for CarbonTargets'!Y38)</f>
        <v>2021</v>
      </c>
      <c r="BV6" s="318">
        <f>IF('3 Adjust Strategy Timings '!Z40&gt;0,'3 Adjust Strategy Timings '!Z40,'1 StrategyMix for CarbonTargets'!Y46)</f>
        <v>2023</v>
      </c>
      <c r="BW6" s="324"/>
      <c r="CB6" s="717" t="s">
        <v>231</v>
      </c>
      <c r="CC6" s="718"/>
      <c r="CD6" s="718"/>
      <c r="CE6" s="718"/>
      <c r="CF6" s="718"/>
      <c r="CG6" s="718"/>
      <c r="CH6" s="718"/>
      <c r="CI6" s="718"/>
      <c r="CJ6" s="719"/>
      <c r="EX6" s="89"/>
      <c r="EY6" t="s">
        <v>226</v>
      </c>
      <c r="EZ6" s="1" t="s">
        <v>227</v>
      </c>
      <c r="FA6" s="288" t="s">
        <v>218</v>
      </c>
      <c r="FB6" s="288" t="s">
        <v>224</v>
      </c>
      <c r="FC6" s="249" t="s">
        <v>216</v>
      </c>
      <c r="FD6" s="249" t="s">
        <v>213</v>
      </c>
      <c r="FE6" s="251" t="s">
        <v>265</v>
      </c>
      <c r="FF6" s="251" t="s">
        <v>254</v>
      </c>
      <c r="FG6" s="251" t="s">
        <v>253</v>
      </c>
      <c r="FH6" s="253" t="s">
        <v>119</v>
      </c>
      <c r="FI6" s="253" t="s">
        <v>118</v>
      </c>
      <c r="FJ6" s="253" t="s">
        <v>127</v>
      </c>
      <c r="FK6" s="345" t="s">
        <v>129</v>
      </c>
      <c r="FM6" s="89"/>
      <c r="FN6" t="s">
        <v>226</v>
      </c>
      <c r="FO6" s="1" t="s">
        <v>227</v>
      </c>
      <c r="FP6" s="288" t="s">
        <v>218</v>
      </c>
      <c r="FQ6" s="288" t="s">
        <v>224</v>
      </c>
      <c r="FR6" s="249" t="s">
        <v>217</v>
      </c>
      <c r="FS6" s="249" t="s">
        <v>211</v>
      </c>
      <c r="FT6" s="251" t="s">
        <v>265</v>
      </c>
      <c r="FU6" s="251" t="s">
        <v>254</v>
      </c>
      <c r="FV6" s="251" t="s">
        <v>253</v>
      </c>
      <c r="FW6" s="253" t="s">
        <v>119</v>
      </c>
      <c r="FX6" s="253" t="s">
        <v>118</v>
      </c>
      <c r="FY6" s="253" t="s">
        <v>127</v>
      </c>
      <c r="FZ6" s="345" t="s">
        <v>129</v>
      </c>
      <c r="GB6" s="89"/>
      <c r="GC6" t="s">
        <v>226</v>
      </c>
      <c r="GD6" s="1" t="s">
        <v>227</v>
      </c>
      <c r="GE6" s="288" t="s">
        <v>218</v>
      </c>
      <c r="GF6" s="288" t="s">
        <v>224</v>
      </c>
      <c r="GG6" s="249" t="s">
        <v>215</v>
      </c>
      <c r="GH6" s="249" t="s">
        <v>210</v>
      </c>
      <c r="GI6" s="251" t="s">
        <v>265</v>
      </c>
      <c r="GJ6" s="251" t="s">
        <v>254</v>
      </c>
      <c r="GK6" s="251" t="s">
        <v>253</v>
      </c>
      <c r="GL6" s="253" t="s">
        <v>119</v>
      </c>
      <c r="GM6" s="253" t="s">
        <v>118</v>
      </c>
      <c r="GN6" s="253" t="s">
        <v>127</v>
      </c>
      <c r="GO6" s="345" t="s">
        <v>129</v>
      </c>
      <c r="GQ6" s="89"/>
      <c r="GR6" t="s">
        <v>226</v>
      </c>
      <c r="GS6" s="1" t="s">
        <v>227</v>
      </c>
      <c r="GT6" s="288" t="s">
        <v>218</v>
      </c>
      <c r="GU6" s="288" t="s">
        <v>224</v>
      </c>
      <c r="GV6" s="249" t="s">
        <v>209</v>
      </c>
      <c r="GW6" s="249" t="s">
        <v>208</v>
      </c>
      <c r="GX6" s="251" t="s">
        <v>265</v>
      </c>
      <c r="GY6" s="251" t="s">
        <v>254</v>
      </c>
      <c r="GZ6" s="251" t="s">
        <v>253</v>
      </c>
      <c r="HA6" s="253" t="s">
        <v>119</v>
      </c>
      <c r="HB6" s="253" t="s">
        <v>118</v>
      </c>
      <c r="HC6" s="253" t="s">
        <v>127</v>
      </c>
      <c r="HD6" s="345" t="s">
        <v>129</v>
      </c>
      <c r="HF6" s="89"/>
      <c r="HG6" t="s">
        <v>226</v>
      </c>
      <c r="HH6" s="1" t="s">
        <v>227</v>
      </c>
      <c r="HI6" s="288" t="s">
        <v>218</v>
      </c>
      <c r="HJ6" s="288" t="s">
        <v>224</v>
      </c>
      <c r="HK6" s="249" t="s">
        <v>207</v>
      </c>
      <c r="HL6" s="249" t="s">
        <v>206</v>
      </c>
      <c r="HM6" s="251" t="s">
        <v>265</v>
      </c>
      <c r="HN6" s="251" t="s">
        <v>254</v>
      </c>
      <c r="HO6" s="251" t="s">
        <v>253</v>
      </c>
      <c r="HP6" s="253" t="s">
        <v>119</v>
      </c>
      <c r="HQ6" s="253" t="s">
        <v>118</v>
      </c>
      <c r="HR6" s="253" t="s">
        <v>127</v>
      </c>
      <c r="HS6" s="345" t="s">
        <v>129</v>
      </c>
      <c r="HU6" s="89"/>
      <c r="HV6" t="s">
        <v>226</v>
      </c>
      <c r="HW6" s="1" t="s">
        <v>227</v>
      </c>
      <c r="HX6" s="288" t="s">
        <v>218</v>
      </c>
      <c r="HY6" s="288" t="s">
        <v>224</v>
      </c>
      <c r="HZ6" s="249" t="s">
        <v>124</v>
      </c>
      <c r="IA6" s="249" t="s">
        <v>205</v>
      </c>
      <c r="IB6" s="251" t="s">
        <v>265</v>
      </c>
      <c r="IC6" s="251" t="s">
        <v>254</v>
      </c>
      <c r="ID6" s="251" t="s">
        <v>253</v>
      </c>
      <c r="IE6" s="253" t="s">
        <v>119</v>
      </c>
      <c r="IF6" s="253" t="s">
        <v>118</v>
      </c>
      <c r="IG6" s="253" t="s">
        <v>127</v>
      </c>
      <c r="IH6" s="345" t="s">
        <v>129</v>
      </c>
      <c r="IJ6" s="89" t="s">
        <v>257</v>
      </c>
      <c r="IK6" t="s">
        <v>226</v>
      </c>
      <c r="IL6" s="1" t="s">
        <v>227</v>
      </c>
      <c r="IM6" s="288" t="s">
        <v>218</v>
      </c>
      <c r="IN6" s="288" t="s">
        <v>224</v>
      </c>
      <c r="IO6" s="249" t="s">
        <v>264</v>
      </c>
      <c r="IP6" s="249" t="s">
        <v>139</v>
      </c>
      <c r="IQ6" s="251" t="s">
        <v>265</v>
      </c>
      <c r="IR6" s="251" t="s">
        <v>254</v>
      </c>
      <c r="IS6" s="251" t="s">
        <v>253</v>
      </c>
      <c r="IT6" s="253" t="s">
        <v>119</v>
      </c>
      <c r="IU6" s="253" t="s">
        <v>118</v>
      </c>
      <c r="IV6" s="253" t="s">
        <v>127</v>
      </c>
      <c r="IW6" s="345" t="s">
        <v>129</v>
      </c>
      <c r="IY6" s="731" t="s">
        <v>258</v>
      </c>
      <c r="IZ6" s="731"/>
      <c r="JA6" s="731"/>
      <c r="JB6" s="731"/>
      <c r="JC6" s="731"/>
      <c r="JD6" s="731"/>
      <c r="JE6" s="731"/>
      <c r="JF6" s="731"/>
      <c r="JG6" s="731"/>
      <c r="JH6" s="731"/>
      <c r="JI6" s="731"/>
      <c r="JJ6" s="731"/>
      <c r="JK6" s="731"/>
      <c r="JL6" s="731"/>
      <c r="JM6" s="731"/>
      <c r="JN6" s="731"/>
      <c r="JO6" s="731"/>
      <c r="JP6" s="731"/>
      <c r="JQ6" s="731"/>
      <c r="JR6" s="731"/>
      <c r="JS6" s="731"/>
      <c r="JT6" s="731"/>
    </row>
    <row r="7" spans="1:280" ht="14.5" customHeight="1">
      <c r="A7" s="692" t="s">
        <v>110</v>
      </c>
      <c r="B7" s="692"/>
      <c r="C7" s="692"/>
      <c r="D7" s="692"/>
      <c r="E7" s="692"/>
      <c r="F7" s="692"/>
      <c r="K7" s="3"/>
      <c r="L7" s="315"/>
      <c r="M7" s="271"/>
      <c r="N7" s="271"/>
      <c r="O7" s="273"/>
      <c r="P7" s="273"/>
      <c r="Q7" s="273"/>
      <c r="R7" s="273"/>
      <c r="S7" s="271"/>
      <c r="T7" s="273"/>
      <c r="U7" s="273"/>
      <c r="V7" s="273"/>
      <c r="W7" s="271"/>
      <c r="X7" s="271"/>
      <c r="Y7" s="271"/>
      <c r="Z7" s="273"/>
      <c r="AA7" s="273"/>
      <c r="AB7" s="273"/>
      <c r="AC7" s="273"/>
      <c r="AD7" s="273"/>
      <c r="AE7" s="273"/>
      <c r="AF7" s="273"/>
      <c r="AG7" s="273"/>
      <c r="AH7" s="273"/>
      <c r="AI7" s="270"/>
      <c r="AJ7" s="273"/>
      <c r="AK7" s="270"/>
      <c r="AL7" s="273"/>
      <c r="AM7" s="271"/>
      <c r="AN7" s="271"/>
      <c r="AO7" s="89"/>
      <c r="BA7" s="283"/>
      <c r="BB7" s="271"/>
      <c r="BC7" s="240"/>
      <c r="BE7" s="283"/>
      <c r="BF7" s="271"/>
      <c r="BG7" s="240"/>
      <c r="BI7" s="283"/>
      <c r="BJ7" s="271"/>
      <c r="BK7" s="240"/>
      <c r="BM7" s="283"/>
      <c r="BN7" s="271"/>
      <c r="BO7" s="240"/>
      <c r="BQ7" s="283"/>
      <c r="BR7" s="271"/>
      <c r="BS7" s="240"/>
      <c r="BU7" s="283"/>
      <c r="BV7" s="271"/>
      <c r="BW7" s="240"/>
      <c r="CB7" s="720"/>
      <c r="CC7" s="721"/>
      <c r="CD7" s="721"/>
      <c r="CE7" s="721"/>
      <c r="CF7" s="721"/>
      <c r="CG7" s="721"/>
      <c r="CH7" s="721"/>
      <c r="CI7" s="721"/>
      <c r="CJ7" s="722"/>
      <c r="EX7" s="346">
        <v>1990</v>
      </c>
      <c r="EY7" s="3">
        <v>1</v>
      </c>
      <c r="EZ7" s="3"/>
      <c r="FA7" s="3">
        <f>EY7</f>
        <v>1</v>
      </c>
      <c r="FB7" s="5">
        <v>0</v>
      </c>
      <c r="FC7" s="5">
        <v>0</v>
      </c>
      <c r="FD7" s="5">
        <v>0</v>
      </c>
      <c r="FE7" s="5">
        <v>0</v>
      </c>
      <c r="FF7" s="5">
        <v>0</v>
      </c>
      <c r="FG7" s="5">
        <v>0</v>
      </c>
      <c r="FH7" s="5">
        <v>0</v>
      </c>
      <c r="FI7" s="5">
        <v>0</v>
      </c>
      <c r="FJ7" s="5">
        <v>0</v>
      </c>
      <c r="FK7" s="108">
        <v>0</v>
      </c>
      <c r="FM7" s="346">
        <v>1990</v>
      </c>
      <c r="FN7" s="3">
        <v>1</v>
      </c>
      <c r="FO7" s="3"/>
      <c r="FP7" s="3">
        <f>FN7</f>
        <v>1</v>
      </c>
      <c r="FQ7" s="5">
        <v>0</v>
      </c>
      <c r="FR7" s="5">
        <v>0</v>
      </c>
      <c r="FS7" s="5">
        <v>0</v>
      </c>
      <c r="FT7" s="5">
        <v>0</v>
      </c>
      <c r="FU7" s="5">
        <v>0</v>
      </c>
      <c r="FV7" s="5">
        <v>0</v>
      </c>
      <c r="FW7" s="5">
        <v>0</v>
      </c>
      <c r="FX7" s="5">
        <v>0</v>
      </c>
      <c r="FY7" s="5">
        <v>0</v>
      </c>
      <c r="FZ7" s="108">
        <v>0</v>
      </c>
      <c r="GB7" s="346">
        <v>1990</v>
      </c>
      <c r="GC7" s="3">
        <v>1</v>
      </c>
      <c r="GD7" s="3"/>
      <c r="GE7" s="3">
        <f>GC7</f>
        <v>1</v>
      </c>
      <c r="GF7" s="5">
        <v>0</v>
      </c>
      <c r="GG7" s="5">
        <v>0</v>
      </c>
      <c r="GH7" s="5">
        <v>0</v>
      </c>
      <c r="GI7" s="5">
        <v>0</v>
      </c>
      <c r="GJ7" s="5">
        <v>0</v>
      </c>
      <c r="GK7" s="5">
        <v>0</v>
      </c>
      <c r="GL7" s="5">
        <v>0</v>
      </c>
      <c r="GM7" s="5">
        <v>0</v>
      </c>
      <c r="GN7" s="5">
        <v>0</v>
      </c>
      <c r="GO7" s="108">
        <v>0</v>
      </c>
      <c r="GQ7" s="346">
        <v>1990</v>
      </c>
      <c r="GR7" s="3">
        <v>1</v>
      </c>
      <c r="GS7" s="3"/>
      <c r="GT7" s="3">
        <f>GR7</f>
        <v>1</v>
      </c>
      <c r="GU7" s="5">
        <v>0</v>
      </c>
      <c r="GV7" s="5">
        <v>0</v>
      </c>
      <c r="GW7" s="5">
        <v>0</v>
      </c>
      <c r="GX7" s="5">
        <v>0</v>
      </c>
      <c r="GY7" s="5">
        <v>0</v>
      </c>
      <c r="GZ7" s="5">
        <v>0</v>
      </c>
      <c r="HA7" s="5">
        <v>0</v>
      </c>
      <c r="HB7" s="5">
        <v>0</v>
      </c>
      <c r="HC7" s="5">
        <v>0</v>
      </c>
      <c r="HD7" s="108">
        <v>0</v>
      </c>
      <c r="HF7" s="346">
        <v>1990</v>
      </c>
      <c r="HG7" s="3">
        <v>1</v>
      </c>
      <c r="HH7" s="3"/>
      <c r="HI7" s="3">
        <f>HG7</f>
        <v>1</v>
      </c>
      <c r="HJ7" s="5">
        <v>0</v>
      </c>
      <c r="HK7" s="5">
        <v>0</v>
      </c>
      <c r="HL7" s="5">
        <v>0</v>
      </c>
      <c r="HM7" s="5">
        <v>0</v>
      </c>
      <c r="HN7" s="5">
        <v>0</v>
      </c>
      <c r="HO7" s="5">
        <v>0</v>
      </c>
      <c r="HP7" s="5">
        <v>0</v>
      </c>
      <c r="HQ7" s="5">
        <v>0</v>
      </c>
      <c r="HR7" s="5">
        <v>0</v>
      </c>
      <c r="HS7" s="108">
        <v>0</v>
      </c>
      <c r="HU7" s="346">
        <v>1990</v>
      </c>
      <c r="HV7" s="3">
        <v>1</v>
      </c>
      <c r="HW7" s="3"/>
      <c r="HX7" s="3">
        <f>HV7</f>
        <v>1</v>
      </c>
      <c r="HY7" s="5">
        <v>0</v>
      </c>
      <c r="HZ7" s="5">
        <v>0</v>
      </c>
      <c r="IA7" s="5">
        <v>0</v>
      </c>
      <c r="IB7" s="5">
        <v>0</v>
      </c>
      <c r="IC7" s="5">
        <v>0</v>
      </c>
      <c r="ID7" s="5">
        <v>0</v>
      </c>
      <c r="IE7" s="5">
        <v>0</v>
      </c>
      <c r="IF7" s="5">
        <v>0</v>
      </c>
      <c r="IG7" s="5">
        <v>0</v>
      </c>
      <c r="IH7" s="108">
        <v>0</v>
      </c>
      <c r="IJ7" s="346">
        <v>1990</v>
      </c>
      <c r="IK7" s="3">
        <v>1</v>
      </c>
      <c r="IL7" s="3"/>
      <c r="IM7" s="3">
        <f>IK7</f>
        <v>1</v>
      </c>
      <c r="IN7" s="5">
        <v>0</v>
      </c>
      <c r="IO7" s="5">
        <v>0</v>
      </c>
      <c r="IP7" s="5">
        <v>0</v>
      </c>
      <c r="IQ7" s="5">
        <v>0</v>
      </c>
      <c r="IR7" s="5">
        <v>0</v>
      </c>
      <c r="IS7" s="5">
        <v>0</v>
      </c>
      <c r="IT7" s="5">
        <v>0</v>
      </c>
      <c r="IU7" s="5">
        <v>0</v>
      </c>
      <c r="IV7" s="5">
        <v>0</v>
      </c>
      <c r="IW7" s="108">
        <v>0</v>
      </c>
      <c r="IZ7" s="149"/>
      <c r="JA7" s="706" t="s">
        <v>290</v>
      </c>
      <c r="JB7" s="357"/>
      <c r="JC7" s="706" t="s">
        <v>288</v>
      </c>
      <c r="JD7" s="706" t="str">
        <f>FM122</f>
        <v xml:space="preserve">Fit for 55' and Green Deal target </v>
      </c>
      <c r="JE7" s="688" t="s">
        <v>289</v>
      </c>
      <c r="JF7" s="688"/>
      <c r="JG7" s="358"/>
      <c r="JH7" s="359"/>
      <c r="JI7" s="364"/>
      <c r="JJ7" s="364"/>
      <c r="JK7" s="359"/>
      <c r="JL7" s="359"/>
      <c r="JM7" s="364"/>
      <c r="JN7" s="364"/>
      <c r="JO7" s="359"/>
      <c r="JP7" s="359"/>
      <c r="JQ7" s="364"/>
      <c r="JR7" s="364"/>
      <c r="JS7" s="359"/>
      <c r="JT7" s="359"/>
    </row>
    <row r="8" spans="1:280">
      <c r="A8" s="260" t="s">
        <v>109</v>
      </c>
      <c r="B8" s="247"/>
      <c r="C8" s="247"/>
      <c r="D8" s="247"/>
      <c r="E8" s="247"/>
      <c r="F8" s="247"/>
      <c r="J8">
        <v>2030</v>
      </c>
      <c r="K8" s="317">
        <v>1</v>
      </c>
      <c r="L8" s="315">
        <f>-H3</f>
        <v>-0.05</v>
      </c>
      <c r="M8" s="413">
        <f>(A6/30)*10</f>
        <v>3.3333333333333333E-2</v>
      </c>
      <c r="N8" s="271"/>
      <c r="O8" s="319">
        <f>AP20*(1+$M$9)</f>
        <v>-1.0560000000000002E-2</v>
      </c>
      <c r="P8" s="319">
        <f>AQ20*(1+$M$9)</f>
        <v>-2.2000000000000006E-3</v>
      </c>
      <c r="Q8" s="319">
        <f>AR20*(1+$M$9)</f>
        <v>-5.7115384615384606E-3</v>
      </c>
      <c r="R8" s="319">
        <f>AS20*(1+$M$9)</f>
        <v>-4.9500000000000016E-2</v>
      </c>
      <c r="S8" s="318"/>
      <c r="T8" s="319">
        <f>AU20*(1+$M$9)</f>
        <v>-1.846715328467154E-2</v>
      </c>
      <c r="U8" s="319">
        <f>AV20*(1+$M$9)</f>
        <v>-3.8272506082725068E-2</v>
      </c>
      <c r="V8" s="319">
        <f>AW20*(1+$M$9)</f>
        <v>-0.17985401459854014</v>
      </c>
      <c r="W8" s="271"/>
      <c r="X8" s="397">
        <f>BX20*(1+$M$9)</f>
        <v>-2.1226635294117637E-2</v>
      </c>
      <c r="Y8" s="397">
        <f>BY20*(1+$M$9)</f>
        <v>-0.1022867107246377</v>
      </c>
      <c r="Z8" s="319">
        <f>AY20*(1+$M$9)</f>
        <v>-5.4896470588235276E-2</v>
      </c>
      <c r="AA8" s="319">
        <f>AZ20*(1+$M$9)</f>
        <v>4.3917176470588222E-3</v>
      </c>
      <c r="AB8" s="319">
        <f>BC20*(1+$M$9)</f>
        <v>-1.2785838840579699E-2</v>
      </c>
      <c r="AC8" s="319">
        <f>BD20*(1+$M$9)</f>
        <v>4.3917176470588222E-3</v>
      </c>
      <c r="AD8" s="319">
        <f>BG20*(1+$M$9)</f>
        <v>-1.2785838840579719E-2</v>
      </c>
      <c r="AE8" s="319">
        <f>BH20*(1+$M$9)</f>
        <v>8.2954666666666642E-3</v>
      </c>
      <c r="AF8" s="319">
        <f>BK20*(1+$M$9)</f>
        <v>-2.5571677681159435E-2</v>
      </c>
      <c r="AG8" s="319">
        <f>BL20*(1+$M$9)</f>
        <v>8.2954666666666642E-3</v>
      </c>
      <c r="AH8" s="319">
        <f>BO20*(1+$M$9)</f>
        <v>-2.5571677681159411E-2</v>
      </c>
      <c r="AI8" s="320">
        <f>BP20*(1+$M$9)</f>
        <v>8.2954666666666642E-3</v>
      </c>
      <c r="AJ8" s="319">
        <f>BS20*(1+$M$9)</f>
        <v>-2.5571677681159435E-2</v>
      </c>
      <c r="AK8" s="320">
        <f>BT20*(1+$M$9)</f>
        <v>8.2954666666666642E-3</v>
      </c>
      <c r="AL8" s="321">
        <f>BW20*(1+$M$9)</f>
        <v>-2.5571677681159415E-2</v>
      </c>
      <c r="AM8" s="271"/>
      <c r="AN8" s="271"/>
      <c r="AO8" s="89"/>
      <c r="BA8" s="283"/>
      <c r="BB8" s="271"/>
      <c r="BC8" s="240"/>
      <c r="BE8" s="283"/>
      <c r="BF8" s="271"/>
      <c r="BG8" s="240"/>
      <c r="BI8" s="283"/>
      <c r="BJ8" s="271"/>
      <c r="BK8" s="240"/>
      <c r="BM8" s="283"/>
      <c r="BN8" s="271"/>
      <c r="BO8" s="240"/>
      <c r="BQ8" s="283"/>
      <c r="BR8" s="271"/>
      <c r="BS8" s="240"/>
      <c r="BU8" s="283"/>
      <c r="BV8" s="271"/>
      <c r="BW8" s="240"/>
      <c r="CB8" s="720"/>
      <c r="CC8" s="721"/>
      <c r="CD8" s="721"/>
      <c r="CE8" s="721"/>
      <c r="CF8" s="721"/>
      <c r="CG8" s="721"/>
      <c r="CH8" s="721"/>
      <c r="CI8" s="721"/>
      <c r="CJ8" s="722"/>
      <c r="EX8" s="89">
        <v>2000</v>
      </c>
      <c r="EY8" s="5">
        <f>$A$3/3+EY$7</f>
        <v>0.98333333333333328</v>
      </c>
      <c r="EZ8" s="5"/>
      <c r="FA8" s="3">
        <f>EY8</f>
        <v>0.98333333333333328</v>
      </c>
      <c r="FB8" s="5">
        <v>0</v>
      </c>
      <c r="FC8" s="5">
        <v>0</v>
      </c>
      <c r="FD8" s="5">
        <v>0</v>
      </c>
      <c r="FE8" s="5">
        <v>0</v>
      </c>
      <c r="FF8" s="5">
        <v>0</v>
      </c>
      <c r="FG8" s="5">
        <v>0</v>
      </c>
      <c r="FH8" s="5">
        <v>0</v>
      </c>
      <c r="FI8" s="5">
        <v>0</v>
      </c>
      <c r="FJ8" s="5">
        <v>0</v>
      </c>
      <c r="FK8" s="108">
        <v>0</v>
      </c>
      <c r="FM8" s="89">
        <v>2000</v>
      </c>
      <c r="FN8" s="5">
        <f>$A$3/3+FN$7</f>
        <v>0.98333333333333328</v>
      </c>
      <c r="FO8" s="5"/>
      <c r="FP8" s="3">
        <f>FN8</f>
        <v>0.98333333333333328</v>
      </c>
      <c r="FQ8" s="5">
        <v>0</v>
      </c>
      <c r="FR8" s="5">
        <v>0</v>
      </c>
      <c r="FS8" s="5">
        <v>0</v>
      </c>
      <c r="FT8" s="5">
        <v>0</v>
      </c>
      <c r="FU8" s="5">
        <v>0</v>
      </c>
      <c r="FV8" s="5">
        <v>0</v>
      </c>
      <c r="FW8" s="5">
        <v>0</v>
      </c>
      <c r="FX8" s="5">
        <v>0</v>
      </c>
      <c r="FY8" s="5">
        <v>0</v>
      </c>
      <c r="FZ8" s="108">
        <v>0</v>
      </c>
      <c r="GB8" s="89">
        <v>2000</v>
      </c>
      <c r="GC8" s="5">
        <f>$A$3/3+GC$7</f>
        <v>0.98333333333333328</v>
      </c>
      <c r="GD8" s="5"/>
      <c r="GE8" s="3">
        <f>GC8</f>
        <v>0.98333333333333328</v>
      </c>
      <c r="GF8" s="5">
        <v>0</v>
      </c>
      <c r="GG8" s="5">
        <v>0</v>
      </c>
      <c r="GH8" s="5">
        <v>0</v>
      </c>
      <c r="GI8" s="5">
        <v>0</v>
      </c>
      <c r="GJ8" s="5">
        <v>0</v>
      </c>
      <c r="GK8" s="5">
        <v>0</v>
      </c>
      <c r="GL8" s="5">
        <v>0</v>
      </c>
      <c r="GM8" s="5">
        <v>0</v>
      </c>
      <c r="GN8" s="5">
        <v>0</v>
      </c>
      <c r="GO8" s="108">
        <v>0</v>
      </c>
      <c r="GQ8" s="89">
        <v>2000</v>
      </c>
      <c r="GR8" s="5">
        <f>$A$3/3+GR$7</f>
        <v>0.98333333333333328</v>
      </c>
      <c r="GS8" s="5"/>
      <c r="GT8" s="3">
        <f>GR8</f>
        <v>0.98333333333333328</v>
      </c>
      <c r="GU8" s="5">
        <v>0</v>
      </c>
      <c r="GV8" s="5">
        <v>0</v>
      </c>
      <c r="GW8" s="5">
        <v>0</v>
      </c>
      <c r="GX8" s="5">
        <v>0</v>
      </c>
      <c r="GY8" s="5">
        <v>0</v>
      </c>
      <c r="GZ8" s="5">
        <v>0</v>
      </c>
      <c r="HA8" s="5">
        <v>0</v>
      </c>
      <c r="HB8" s="5">
        <v>0</v>
      </c>
      <c r="HC8" s="5">
        <v>0</v>
      </c>
      <c r="HD8" s="108">
        <v>0</v>
      </c>
      <c r="HF8" s="89">
        <v>2000</v>
      </c>
      <c r="HG8" s="5">
        <f>$A$3/3+HG$7</f>
        <v>0.98333333333333328</v>
      </c>
      <c r="HH8" s="5"/>
      <c r="HI8" s="3">
        <f>HG8</f>
        <v>0.98333333333333328</v>
      </c>
      <c r="HJ8" s="5">
        <v>0</v>
      </c>
      <c r="HK8" s="5">
        <v>0</v>
      </c>
      <c r="HL8" s="5">
        <v>0</v>
      </c>
      <c r="HM8" s="5">
        <v>0</v>
      </c>
      <c r="HN8" s="5">
        <v>0</v>
      </c>
      <c r="HO8" s="5">
        <v>0</v>
      </c>
      <c r="HP8" s="5">
        <v>0</v>
      </c>
      <c r="HQ8" s="5">
        <v>0</v>
      </c>
      <c r="HR8" s="5">
        <v>0</v>
      </c>
      <c r="HS8" s="108">
        <v>0</v>
      </c>
      <c r="HU8" s="89">
        <v>2000</v>
      </c>
      <c r="HV8" s="5">
        <f>$A$3/3+HV$7</f>
        <v>0.98333333333333328</v>
      </c>
      <c r="HW8" s="5"/>
      <c r="HX8" s="3">
        <f>HV8</f>
        <v>0.98333333333333328</v>
      </c>
      <c r="HY8" s="5">
        <v>0</v>
      </c>
      <c r="HZ8" s="5">
        <v>0</v>
      </c>
      <c r="IA8" s="5">
        <v>0</v>
      </c>
      <c r="IB8" s="5">
        <v>0</v>
      </c>
      <c r="IC8" s="5">
        <v>0</v>
      </c>
      <c r="ID8" s="5">
        <v>0</v>
      </c>
      <c r="IE8" s="5">
        <v>0</v>
      </c>
      <c r="IF8" s="5">
        <v>0</v>
      </c>
      <c r="IG8" s="5">
        <v>0</v>
      </c>
      <c r="IH8" s="108">
        <v>0</v>
      </c>
      <c r="IJ8" s="89">
        <v>2000</v>
      </c>
      <c r="IK8" s="5">
        <f>$A$3/3+IK$7</f>
        <v>0.98333333333333328</v>
      </c>
      <c r="IL8" s="5"/>
      <c r="IM8" s="3">
        <f>IK8</f>
        <v>0.98333333333333328</v>
      </c>
      <c r="IN8" s="5">
        <v>0</v>
      </c>
      <c r="IO8" s="5">
        <v>0</v>
      </c>
      <c r="IP8" s="5">
        <v>0</v>
      </c>
      <c r="IQ8" s="5">
        <v>0</v>
      </c>
      <c r="IR8" s="5">
        <v>0</v>
      </c>
      <c r="IS8" s="5">
        <v>0</v>
      </c>
      <c r="IT8" s="5">
        <v>0</v>
      </c>
      <c r="IU8" s="5">
        <v>0</v>
      </c>
      <c r="IV8" s="5">
        <v>0</v>
      </c>
      <c r="IW8" s="108">
        <v>0</v>
      </c>
      <c r="IZ8" s="149"/>
      <c r="JA8" s="706"/>
      <c r="JB8" s="357"/>
      <c r="JC8" s="706"/>
      <c r="JD8" s="706"/>
      <c r="JE8" s="688"/>
      <c r="JF8" s="688"/>
      <c r="JG8" s="358"/>
      <c r="JH8" s="360" t="s">
        <v>246</v>
      </c>
      <c r="JI8" s="365"/>
      <c r="JJ8" s="365" t="s">
        <v>247</v>
      </c>
      <c r="JK8" s="360"/>
      <c r="JL8" s="360" t="s">
        <v>248</v>
      </c>
      <c r="JM8" s="365"/>
      <c r="JN8" s="365" t="s">
        <v>249</v>
      </c>
      <c r="JO8" s="360"/>
      <c r="JP8" s="360" t="s">
        <v>250</v>
      </c>
      <c r="JQ8" s="365"/>
      <c r="JR8" s="365" t="s">
        <v>251</v>
      </c>
      <c r="JS8" s="360"/>
      <c r="JT8" s="360" t="s">
        <v>252</v>
      </c>
    </row>
    <row r="9" spans="1:280" ht="14.5" customHeight="1">
      <c r="A9" s="259">
        <f>'1 StrategyMix for CarbonTargets'!V12</f>
        <v>0.5</v>
      </c>
      <c r="B9" s="247"/>
      <c r="C9" s="247"/>
      <c r="D9" s="247"/>
      <c r="E9" s="247"/>
      <c r="F9" s="247"/>
      <c r="J9" s="316">
        <v>2050</v>
      </c>
      <c r="K9" s="317">
        <v>1</v>
      </c>
      <c r="L9" s="317">
        <f>-H3</f>
        <v>-0.05</v>
      </c>
      <c r="M9" s="317">
        <f>A6</f>
        <v>0.1</v>
      </c>
      <c r="N9" s="317"/>
      <c r="O9" s="319">
        <f>AP40*(1+$M$9)</f>
        <v>-3.1679999999999993E-2</v>
      </c>
      <c r="P9" s="319">
        <f>AQ40*(1+$M$9)</f>
        <v>-7.7000000000000055E-3</v>
      </c>
      <c r="Q9" s="319">
        <f>AR40*(1+$M$9)</f>
        <v>-2.4749999999999998E-2</v>
      </c>
      <c r="R9" s="319">
        <f>AS40*(1+$M$9)</f>
        <v>-7.425000000000001E-2</v>
      </c>
      <c r="S9" s="318"/>
      <c r="T9" s="319">
        <f>AU40*(1+$M$9)</f>
        <v>-5.5401459854014588E-2</v>
      </c>
      <c r="U9" s="319">
        <f>AV40*(1+$M$9)</f>
        <v>-0.11481751824817528</v>
      </c>
      <c r="V9" s="319">
        <f>AW40*(1+$M$9)</f>
        <v>-0.26978102189781022</v>
      </c>
      <c r="W9" s="318"/>
      <c r="X9" s="397">
        <f>BX40*(1+$M$9)</f>
        <v>-1.8664800000000002E-2</v>
      </c>
      <c r="Y9" s="397">
        <f>BY40*(1+$M$9)</f>
        <v>-0.34139379923478269</v>
      </c>
      <c r="Z9" s="319">
        <f>AY40*(1+$M$9)</f>
        <v>-9.3323999999999976E-2</v>
      </c>
      <c r="AA9" s="319">
        <f>AZ40*(1+$M$9)</f>
        <v>9.3323999999999976E-3</v>
      </c>
      <c r="AB9" s="319">
        <f>BC40*(1+$M$9)</f>
        <v>-4.2674224904347809E-2</v>
      </c>
      <c r="AC9" s="319">
        <f>BD40*(1+$M$9)</f>
        <v>9.3323999999999976E-3</v>
      </c>
      <c r="AD9" s="319">
        <f>BG40*(1+$M$9)</f>
        <v>-4.267422490434785E-2</v>
      </c>
      <c r="AE9" s="319">
        <f>BH40*(1+$M$9)</f>
        <v>1.8664799999999995E-2</v>
      </c>
      <c r="AF9" s="319">
        <f>BK40*(1+$M$9)</f>
        <v>-8.5348449808695687E-2</v>
      </c>
      <c r="AG9" s="319">
        <f>BL40*(1+$M$9)</f>
        <v>1.8664799999999995E-2</v>
      </c>
      <c r="AH9" s="319">
        <f>BO40*(1+$M$9)</f>
        <v>-8.5348449808695645E-2</v>
      </c>
      <c r="AI9" s="320">
        <f>BP40*(1+$M$9)</f>
        <v>1.8664799999999995E-2</v>
      </c>
      <c r="AJ9" s="319">
        <f>BS40*(1+$M$9)</f>
        <v>-8.5348449808695701E-2</v>
      </c>
      <c r="AK9" s="320">
        <f>BT40*(1+$M$9)</f>
        <v>1.8664799999999995E-2</v>
      </c>
      <c r="AL9" s="321">
        <f>BW40*(1+$M$9)</f>
        <v>-8.5348449808695645E-2</v>
      </c>
      <c r="AM9" s="321">
        <f>BX40*(1+$M$9)</f>
        <v>-1.8664800000000002E-2</v>
      </c>
      <c r="AN9" s="321">
        <f>BY40*(1+$M$9)</f>
        <v>-0.34139379923478269</v>
      </c>
      <c r="AO9" s="326" t="s">
        <v>170</v>
      </c>
      <c r="AP9" s="322">
        <f>IF('3 Adjust Strategy Timings '!AA11&gt;0,'3 Adjust Strategy Timings '!AA11,'1 StrategyMix for CarbonTargets'!Z17)</f>
        <v>2050</v>
      </c>
      <c r="AQ9" s="322">
        <f>IF('3 Adjust Strategy Timings '!AA13&gt;0,'3 Adjust Strategy Timings '!AA13,'1 StrategyMix for CarbonTargets'!Z19)</f>
        <v>2050</v>
      </c>
      <c r="AR9" s="322">
        <f>IF('3 Adjust Strategy Timings '!AA16&gt;0,'3 Adjust Strategy Timings '!AA16,'1 StrategyMix for CarbonTargets'!Z22)</f>
        <v>2050</v>
      </c>
      <c r="AS9" s="322">
        <f>IF('3 Adjust Strategy Timings '!AA19&gt;0,'3 Adjust Strategy Timings '!AA19,'1 StrategyMix for CarbonTargets'!Z25)</f>
        <v>2035</v>
      </c>
      <c r="AT9" s="322"/>
      <c r="AU9" s="322">
        <f>IF('3 Adjust Strategy Timings '!AA23&gt;0,'3 Adjust Strategy Timings '!AA23,'1 StrategyMix for CarbonTargets'!Z29)</f>
        <v>2050</v>
      </c>
      <c r="AV9" s="322">
        <f>IF('3 Adjust Strategy Timings '!AA25&gt;0,'3 Adjust Strategy Timings '!AA25,'1 StrategyMix for CarbonTargets'!Z31)</f>
        <v>2050</v>
      </c>
      <c r="AW9" s="322">
        <f>IF('3 Adjust Strategy Timings '!AA27&gt;0,'3 Adjust Strategy Timings '!AA27,'1 StrategyMix for CarbonTargets'!Z33)</f>
        <v>2035</v>
      </c>
      <c r="AX9" s="322"/>
      <c r="AY9" s="322">
        <f>IF('3 Adjust Strategy Timings '!AA34&gt;0,'3 Adjust Strategy Timings '!AA34,'1 StrategyMix for CarbonTargets'!Z40)</f>
        <v>2037</v>
      </c>
      <c r="AZ9" s="318">
        <f>IF('3 Adjust Strategy Timings '!AA40&gt;0,'3 Adjust Strategy Timings '!AA40,'1 StrategyMix for CarbonTargets'!$Z$46)</f>
        <v>2040</v>
      </c>
      <c r="BA9" s="323">
        <f>IF('3 Adjust Strategy Timings '!AA32&gt;0,'3 Adjust Strategy Timings '!AA32,'1 StrategyMix for CarbonTargets'!Z38)</f>
        <v>2050</v>
      </c>
      <c r="BB9" s="318">
        <f>IF('3 Adjust Strategy Timings '!AA40&gt;0,'3 Adjust Strategy Timings '!AA40,'1 StrategyMix for CarbonTargets'!$Z$46)</f>
        <v>2040</v>
      </c>
      <c r="BC9" s="324"/>
      <c r="BD9" s="318">
        <f>IF('3 Adjust Strategy Timings '!AA40&gt;0,'3 Adjust Strategy Timings '!AA40,'1 StrategyMix for CarbonTargets'!$Z$46)</f>
        <v>2040</v>
      </c>
      <c r="BE9" s="323">
        <f>IF('3 Adjust Strategy Timings '!AA32&gt;0,'3 Adjust Strategy Timings '!AA32,'1 StrategyMix for CarbonTargets'!Z38)</f>
        <v>2050</v>
      </c>
      <c r="BF9" s="318">
        <f>IF('3 Adjust Strategy Timings '!AA40&gt;0,'3 Adjust Strategy Timings '!AA40,'1 StrategyMix for CarbonTargets'!$Z$46)</f>
        <v>2040</v>
      </c>
      <c r="BG9" s="324"/>
      <c r="BH9" s="318">
        <f>IF('3 Adjust Strategy Timings '!AA40&gt;0,'3 Adjust Strategy Timings '!AA40,'1 StrategyMix for CarbonTargets'!$Z$46)</f>
        <v>2040</v>
      </c>
      <c r="BI9" s="323">
        <f>IF('3 Adjust Strategy Timings '!AA32&gt;0,'3 Adjust Strategy Timings '!AA32,'1 StrategyMix for CarbonTargets'!Z38)</f>
        <v>2050</v>
      </c>
      <c r="BJ9" s="318">
        <f>IF('3 Adjust Strategy Timings '!AA40&gt;0,'3 Adjust Strategy Timings '!AA40,'1 StrategyMix for CarbonTargets'!$Z$46)</f>
        <v>2040</v>
      </c>
      <c r="BK9" s="324"/>
      <c r="BL9" s="318">
        <f>IF('3 Adjust Strategy Timings '!AA40&gt;0,'3 Adjust Strategy Timings '!AA40,'1 StrategyMix for CarbonTargets'!$Z$46)</f>
        <v>2040</v>
      </c>
      <c r="BM9" s="323">
        <f>IF('3 Adjust Strategy Timings '!AA32&gt;0,'3 Adjust Strategy Timings '!AA32,'1 StrategyMix for CarbonTargets'!Z38)</f>
        <v>2050</v>
      </c>
      <c r="BN9" s="318">
        <f>IF('3 Adjust Strategy Timings '!AA40&gt;0,'3 Adjust Strategy Timings '!AA40,'1 StrategyMix for CarbonTargets'!$Z$46)</f>
        <v>2040</v>
      </c>
      <c r="BO9" s="324"/>
      <c r="BP9" s="318">
        <f>IF('3 Adjust Strategy Timings '!AA40&gt;0,'3 Adjust Strategy Timings '!AA40,'1 StrategyMix for CarbonTargets'!$Z$46)</f>
        <v>2040</v>
      </c>
      <c r="BQ9" s="323">
        <f>IF('3 Adjust Strategy Timings '!AA32&gt;0,'3 Adjust Strategy Timings '!AA32,'1 StrategyMix for CarbonTargets'!Z38)</f>
        <v>2050</v>
      </c>
      <c r="BR9" s="318">
        <f>IF('3 Adjust Strategy Timings '!AA40&gt;0,'3 Adjust Strategy Timings '!AA40,'1 StrategyMix for CarbonTargets'!$Z$46)</f>
        <v>2040</v>
      </c>
      <c r="BS9" s="324"/>
      <c r="BT9" s="318">
        <f>IF('3 Adjust Strategy Timings '!AA40&gt;0,'3 Adjust Strategy Timings '!AA40,'1 StrategyMix for CarbonTargets'!$Z$46)</f>
        <v>2040</v>
      </c>
      <c r="BU9" s="323">
        <f>IF('3 Adjust Strategy Timings '!AA32&gt;0,'3 Adjust Strategy Timings '!AA32,'1 StrategyMix for CarbonTargets'!Z38)</f>
        <v>2050</v>
      </c>
      <c r="BV9" s="318">
        <f>IF('3 Adjust Strategy Timings '!AA40&gt;0,'3 Adjust Strategy Timings '!AA40,'1 StrategyMix for CarbonTargets'!$Z$46)</f>
        <v>2040</v>
      </c>
      <c r="BW9" s="324"/>
      <c r="CB9" s="720"/>
      <c r="CC9" s="721"/>
      <c r="CD9" s="721"/>
      <c r="CE9" s="721"/>
      <c r="CF9" s="721"/>
      <c r="CG9" s="721"/>
      <c r="CH9" s="721"/>
      <c r="CI9" s="721"/>
      <c r="CJ9" s="722"/>
      <c r="CL9" s="695" t="s">
        <v>120</v>
      </c>
      <c r="CM9" s="695"/>
      <c r="CN9" s="695"/>
      <c r="CO9" s="695"/>
      <c r="CP9" s="695"/>
      <c r="CQ9" s="695"/>
      <c r="CR9" s="691"/>
      <c r="CS9" s="691"/>
      <c r="CT9" s="691"/>
      <c r="CU9" s="707" t="s">
        <v>159</v>
      </c>
      <c r="CV9" s="707"/>
      <c r="CW9" s="707"/>
      <c r="CX9" s="707"/>
      <c r="CY9" s="707"/>
      <c r="CZ9" s="707"/>
      <c r="DA9" s="707"/>
      <c r="DB9" s="707"/>
      <c r="DC9" s="707"/>
      <c r="DD9" s="707"/>
      <c r="DE9" s="707"/>
      <c r="DF9" s="707"/>
      <c r="DG9" s="707"/>
      <c r="EX9" s="346">
        <v>2010</v>
      </c>
      <c r="EY9" s="5">
        <f>$A$3/3+EY$8</f>
        <v>0.96666666666666656</v>
      </c>
      <c r="EZ9" s="5"/>
      <c r="FA9" s="3">
        <f>EY9</f>
        <v>0.96666666666666656</v>
      </c>
      <c r="FB9" s="5">
        <v>0</v>
      </c>
      <c r="FC9" s="5">
        <v>0</v>
      </c>
      <c r="FD9" s="5">
        <v>0</v>
      </c>
      <c r="FE9" s="5">
        <v>0</v>
      </c>
      <c r="FF9" s="5">
        <v>0</v>
      </c>
      <c r="FG9" s="5">
        <v>0</v>
      </c>
      <c r="FH9" s="5">
        <v>0</v>
      </c>
      <c r="FI9" s="5">
        <v>0</v>
      </c>
      <c r="FJ9" s="5">
        <v>0</v>
      </c>
      <c r="FK9" s="108">
        <v>0</v>
      </c>
      <c r="FL9" s="2"/>
      <c r="FM9" s="346">
        <v>2010</v>
      </c>
      <c r="FN9" s="5">
        <f>$A$3/3+FN$8</f>
        <v>0.96666666666666656</v>
      </c>
      <c r="FO9" s="5"/>
      <c r="FP9" s="3">
        <f>FN9</f>
        <v>0.96666666666666656</v>
      </c>
      <c r="FQ9" s="5">
        <v>0</v>
      </c>
      <c r="FR9" s="5">
        <v>0</v>
      </c>
      <c r="FS9" s="5">
        <v>0</v>
      </c>
      <c r="FT9" s="5">
        <v>0</v>
      </c>
      <c r="FU9" s="5">
        <v>0</v>
      </c>
      <c r="FV9" s="5">
        <v>0</v>
      </c>
      <c r="FW9" s="5">
        <v>0</v>
      </c>
      <c r="FX9" s="5">
        <v>0</v>
      </c>
      <c r="FY9" s="5">
        <v>0</v>
      </c>
      <c r="FZ9" s="108">
        <v>0</v>
      </c>
      <c r="GA9" s="2"/>
      <c r="GB9" s="346">
        <v>2010</v>
      </c>
      <c r="GC9" s="5">
        <f>$A$3/3+GC$8</f>
        <v>0.96666666666666656</v>
      </c>
      <c r="GD9" s="5"/>
      <c r="GE9" s="3">
        <f>GC9</f>
        <v>0.96666666666666656</v>
      </c>
      <c r="GF9" s="5">
        <v>0</v>
      </c>
      <c r="GG9" s="5">
        <v>0</v>
      </c>
      <c r="GH9" s="5">
        <v>0</v>
      </c>
      <c r="GI9" s="5">
        <v>0</v>
      </c>
      <c r="GJ9" s="5">
        <v>0</v>
      </c>
      <c r="GK9" s="5">
        <v>0</v>
      </c>
      <c r="GL9" s="5">
        <v>0</v>
      </c>
      <c r="GM9" s="5">
        <v>0</v>
      </c>
      <c r="GN9" s="5">
        <v>0</v>
      </c>
      <c r="GO9" s="108">
        <v>0</v>
      </c>
      <c r="GP9" s="2"/>
      <c r="GQ9" s="346">
        <v>2010</v>
      </c>
      <c r="GR9" s="5">
        <f>$A$3/3+GR$8</f>
        <v>0.96666666666666656</v>
      </c>
      <c r="GS9" s="5"/>
      <c r="GT9" s="3">
        <f>GR9</f>
        <v>0.96666666666666656</v>
      </c>
      <c r="GU9" s="5">
        <v>0</v>
      </c>
      <c r="GV9" s="5">
        <v>0</v>
      </c>
      <c r="GW9" s="5">
        <v>0</v>
      </c>
      <c r="GX9" s="5">
        <v>0</v>
      </c>
      <c r="GY9" s="5">
        <v>0</v>
      </c>
      <c r="GZ9" s="5">
        <v>0</v>
      </c>
      <c r="HA9" s="5">
        <v>0</v>
      </c>
      <c r="HB9" s="5">
        <v>0</v>
      </c>
      <c r="HC9" s="5">
        <v>0</v>
      </c>
      <c r="HD9" s="108">
        <v>0</v>
      </c>
      <c r="HE9" s="2"/>
      <c r="HF9" s="346">
        <v>2010</v>
      </c>
      <c r="HG9" s="5">
        <f>$A$3/3+HG$8</f>
        <v>0.96666666666666656</v>
      </c>
      <c r="HH9" s="5"/>
      <c r="HI9" s="3">
        <f>HG9</f>
        <v>0.96666666666666656</v>
      </c>
      <c r="HJ9" s="5">
        <v>0</v>
      </c>
      <c r="HK9" s="5">
        <v>0</v>
      </c>
      <c r="HL9" s="5">
        <v>0</v>
      </c>
      <c r="HM9" s="5">
        <v>0</v>
      </c>
      <c r="HN9" s="5">
        <v>0</v>
      </c>
      <c r="HO9" s="5">
        <v>0</v>
      </c>
      <c r="HP9" s="5">
        <v>0</v>
      </c>
      <c r="HQ9" s="5">
        <v>0</v>
      </c>
      <c r="HR9" s="5">
        <v>0</v>
      </c>
      <c r="HS9" s="108">
        <v>0</v>
      </c>
      <c r="HT9" s="2"/>
      <c r="HU9" s="346">
        <v>2010</v>
      </c>
      <c r="HV9" s="5">
        <f>$A$3/3+HV$8</f>
        <v>0.96666666666666656</v>
      </c>
      <c r="HW9" s="5"/>
      <c r="HX9" s="3">
        <f>HV9</f>
        <v>0.96666666666666656</v>
      </c>
      <c r="HY9" s="5">
        <v>0</v>
      </c>
      <c r="HZ9" s="5">
        <v>0</v>
      </c>
      <c r="IA9" s="5">
        <v>0</v>
      </c>
      <c r="IB9" s="5">
        <v>0</v>
      </c>
      <c r="IC9" s="5">
        <v>0</v>
      </c>
      <c r="ID9" s="5">
        <v>0</v>
      </c>
      <c r="IE9" s="5">
        <v>0</v>
      </c>
      <c r="IF9" s="5">
        <v>0</v>
      </c>
      <c r="IG9" s="5">
        <v>0</v>
      </c>
      <c r="IH9" s="108">
        <v>0</v>
      </c>
      <c r="II9" s="2"/>
      <c r="IJ9" s="346">
        <v>2010</v>
      </c>
      <c r="IK9" s="5">
        <f>$A$3/3+IK$8</f>
        <v>0.96666666666666656</v>
      </c>
      <c r="IL9" s="5"/>
      <c r="IM9" s="3">
        <f>IK9</f>
        <v>0.96666666666666656</v>
      </c>
      <c r="IN9" s="5">
        <v>0</v>
      </c>
      <c r="IO9" s="5">
        <v>0</v>
      </c>
      <c r="IP9" s="5">
        <v>0</v>
      </c>
      <c r="IQ9" s="5">
        <v>0</v>
      </c>
      <c r="IR9" s="5">
        <v>0</v>
      </c>
      <c r="IS9" s="5">
        <v>0</v>
      </c>
      <c r="IT9" s="5">
        <v>0</v>
      </c>
      <c r="IU9" s="5">
        <v>0</v>
      </c>
      <c r="IV9" s="5">
        <v>0</v>
      </c>
      <c r="IW9" s="108">
        <v>0</v>
      </c>
      <c r="IY9" t="s">
        <v>257</v>
      </c>
      <c r="IZ9" s="149"/>
      <c r="JA9" s="706"/>
      <c r="JB9" s="357"/>
      <c r="JC9" s="706"/>
      <c r="JD9" s="706"/>
      <c r="JE9" s="688"/>
      <c r="JF9" s="688"/>
      <c r="JG9" s="358"/>
      <c r="JH9" s="359"/>
      <c r="JI9" s="364"/>
      <c r="JJ9" s="364"/>
      <c r="JK9" s="359"/>
      <c r="JL9" s="359"/>
      <c r="JM9" s="364"/>
      <c r="JN9" s="364"/>
      <c r="JO9" s="359"/>
      <c r="JP9" s="359"/>
      <c r="JQ9" s="364"/>
      <c r="JR9" s="364"/>
      <c r="JS9" s="359"/>
      <c r="JT9" s="359"/>
    </row>
    <row r="10" spans="1:280" ht="58.5" thickBot="1">
      <c r="A10" s="248" t="s">
        <v>108</v>
      </c>
      <c r="B10" s="247"/>
      <c r="C10" s="247"/>
      <c r="D10" s="247"/>
      <c r="E10" s="247"/>
      <c r="F10" s="247"/>
      <c r="J10" t="s">
        <v>297</v>
      </c>
      <c r="K10" s="374">
        <f>IF($AL13=1,K6,K9)</f>
        <v>1</v>
      </c>
      <c r="L10" s="65">
        <f>IF($AL13=1,L6,L9)</f>
        <v>-0.05</v>
      </c>
      <c r="M10" s="65">
        <f>IF($AL13=1,M6,M9)</f>
        <v>0.1</v>
      </c>
      <c r="N10" s="65"/>
      <c r="O10" s="65">
        <f>IF($AL13=1,O6,O9)</f>
        <v>-3.1679999999999993E-2</v>
      </c>
      <c r="P10" s="65">
        <f>IF($AL13=1,P6,P9)</f>
        <v>-7.7000000000000055E-3</v>
      </c>
      <c r="Q10" s="65">
        <f>IF($AL13=1,Q6,Q9)</f>
        <v>-2.4749999999999998E-2</v>
      </c>
      <c r="R10" s="65">
        <f>IF($AL13=1,R6,R9)</f>
        <v>-7.425000000000001E-2</v>
      </c>
      <c r="S10" s="65"/>
      <c r="T10" s="65">
        <f>IF($AL13=1,T6,T9)</f>
        <v>-5.5401459854014588E-2</v>
      </c>
      <c r="U10" s="65">
        <f>IF($AL13=1,U6,U9)</f>
        <v>-0.11481751824817528</v>
      </c>
      <c r="V10" s="65">
        <f>IF($AL13=1,V6,V9)</f>
        <v>-0.26978102189781022</v>
      </c>
      <c r="W10" s="65"/>
      <c r="X10" s="65">
        <f>IF($AL13=1,X6,X9)</f>
        <v>-1.8664800000000002E-2</v>
      </c>
      <c r="Y10" s="65">
        <f>IF($AL13=1,Y6,Y9)</f>
        <v>-0.34139379923478269</v>
      </c>
      <c r="AO10" s="326"/>
      <c r="AP10" s="322"/>
      <c r="AQ10" s="322"/>
      <c r="AR10" s="322"/>
      <c r="AS10" s="322"/>
      <c r="AT10" s="322"/>
      <c r="AU10" s="322"/>
      <c r="AV10" s="322"/>
      <c r="AW10" s="322"/>
      <c r="AX10" s="322"/>
      <c r="AY10" s="322"/>
      <c r="AZ10" s="322"/>
      <c r="BA10" s="323"/>
      <c r="BB10" s="318"/>
      <c r="BC10" s="324"/>
      <c r="BD10" s="322"/>
      <c r="BE10" s="323"/>
      <c r="BF10" s="318"/>
      <c r="BG10" s="324"/>
      <c r="BH10" s="322"/>
      <c r="BI10" s="323"/>
      <c r="BJ10" s="318"/>
      <c r="BK10" s="324"/>
      <c r="BL10" s="322"/>
      <c r="BM10" s="323"/>
      <c r="BN10" s="318"/>
      <c r="BO10" s="324"/>
      <c r="BP10" s="322"/>
      <c r="BQ10" s="323"/>
      <c r="BR10" s="318"/>
      <c r="BS10" s="324"/>
      <c r="BT10" s="322"/>
      <c r="BU10" s="323"/>
      <c r="BV10" s="318"/>
      <c r="BW10" s="324"/>
      <c r="CB10" s="274" t="s">
        <v>232</v>
      </c>
      <c r="CC10" s="274" t="s">
        <v>233</v>
      </c>
      <c r="CD10" s="274" t="s">
        <v>234</v>
      </c>
      <c r="CE10" s="274" t="s">
        <v>235</v>
      </c>
      <c r="CF10" s="274" t="s">
        <v>236</v>
      </c>
      <c r="CG10" s="274" t="s">
        <v>237</v>
      </c>
      <c r="CH10" s="274" t="s">
        <v>238</v>
      </c>
      <c r="CJ10" s="240"/>
      <c r="CL10" s="253"/>
      <c r="CM10" s="253" t="s">
        <v>225</v>
      </c>
      <c r="CN10" s="253" t="s">
        <v>129</v>
      </c>
      <c r="CO10" s="253" t="s">
        <v>127</v>
      </c>
      <c r="CP10" s="253" t="s">
        <v>118</v>
      </c>
      <c r="CQ10" s="253" t="s">
        <v>119</v>
      </c>
      <c r="CR10" s="251" t="s">
        <v>128</v>
      </c>
      <c r="CS10" s="251" t="s">
        <v>122</v>
      </c>
      <c r="CT10" s="251" t="s">
        <v>123</v>
      </c>
      <c r="CU10" s="249" t="s">
        <v>139</v>
      </c>
      <c r="CV10" s="249" t="s">
        <v>205</v>
      </c>
      <c r="CW10" s="249" t="s">
        <v>124</v>
      </c>
      <c r="CX10" s="249" t="s">
        <v>206</v>
      </c>
      <c r="CY10" s="249" t="s">
        <v>207</v>
      </c>
      <c r="CZ10" s="249" t="s">
        <v>208</v>
      </c>
      <c r="DA10" s="249" t="s">
        <v>209</v>
      </c>
      <c r="DB10" s="249" t="s">
        <v>210</v>
      </c>
      <c r="DC10" s="249" t="s">
        <v>215</v>
      </c>
      <c r="DD10" s="249" t="s">
        <v>211</v>
      </c>
      <c r="DE10" s="249" t="s">
        <v>212</v>
      </c>
      <c r="DF10" s="249" t="s">
        <v>213</v>
      </c>
      <c r="DG10" s="249" t="s">
        <v>214</v>
      </c>
      <c r="DM10" s="249" t="s">
        <v>216</v>
      </c>
      <c r="DN10" s="249" t="s">
        <v>217</v>
      </c>
      <c r="DO10" s="249" t="s">
        <v>215</v>
      </c>
      <c r="DP10" s="249" t="s">
        <v>209</v>
      </c>
      <c r="DQ10" s="249" t="s">
        <v>207</v>
      </c>
      <c r="DR10" s="249" t="s">
        <v>124</v>
      </c>
      <c r="DS10" s="249" t="s">
        <v>139</v>
      </c>
      <c r="DT10" s="251" t="s">
        <v>123</v>
      </c>
      <c r="DU10" s="251" t="s">
        <v>122</v>
      </c>
      <c r="DV10" s="251" t="s">
        <v>128</v>
      </c>
      <c r="DW10" s="253" t="s">
        <v>119</v>
      </c>
      <c r="DX10" s="253" t="s">
        <v>118</v>
      </c>
      <c r="DY10" s="253" t="s">
        <v>127</v>
      </c>
      <c r="DZ10" s="253" t="s">
        <v>129</v>
      </c>
      <c r="EA10">
        <v>2020</v>
      </c>
      <c r="EC10" s="288" t="s">
        <v>218</v>
      </c>
      <c r="ED10" s="288" t="s">
        <v>224</v>
      </c>
      <c r="EE10" s="249" t="s">
        <v>214</v>
      </c>
      <c r="EF10" s="249" t="s">
        <v>217</v>
      </c>
      <c r="EG10" s="249" t="s">
        <v>215</v>
      </c>
      <c r="EH10" s="249" t="s">
        <v>209</v>
      </c>
      <c r="EI10" s="249" t="s">
        <v>207</v>
      </c>
      <c r="EJ10" s="249" t="s">
        <v>124</v>
      </c>
      <c r="EK10" s="249" t="s">
        <v>139</v>
      </c>
      <c r="EL10" s="251" t="s">
        <v>123</v>
      </c>
      <c r="EM10" s="251" t="s">
        <v>122</v>
      </c>
      <c r="EN10" s="251" t="s">
        <v>128</v>
      </c>
      <c r="EO10" s="253" t="s">
        <v>119</v>
      </c>
      <c r="EP10" s="253" t="s">
        <v>118</v>
      </c>
      <c r="EQ10" s="253" t="s">
        <v>127</v>
      </c>
      <c r="ER10" s="253" t="s">
        <v>129</v>
      </c>
      <c r="EX10" s="346">
        <v>2020</v>
      </c>
      <c r="EY10" s="278">
        <f>EY$7+$A$3</f>
        <v>0.95</v>
      </c>
      <c r="EZ10" s="278">
        <f>EY7+$A$3</f>
        <v>0.95</v>
      </c>
      <c r="FA10" s="278">
        <f>1-SUM(FC10:FK10)+$A$3</f>
        <v>0.95</v>
      </c>
      <c r="FB10" s="5">
        <v>0</v>
      </c>
      <c r="FC10" s="5">
        <v>0</v>
      </c>
      <c r="FD10" s="5">
        <v>0</v>
      </c>
      <c r="FE10" s="5">
        <v>0</v>
      </c>
      <c r="FF10" s="5">
        <v>0</v>
      </c>
      <c r="FG10" s="5">
        <v>0</v>
      </c>
      <c r="FH10" s="5">
        <v>0</v>
      </c>
      <c r="FI10" s="5">
        <v>0</v>
      </c>
      <c r="FJ10" s="5">
        <v>0</v>
      </c>
      <c r="FK10" s="108">
        <v>0</v>
      </c>
      <c r="FL10" s="1"/>
      <c r="FM10" s="346">
        <v>2020</v>
      </c>
      <c r="FN10" s="278">
        <f>FN$7+$A$3</f>
        <v>0.95</v>
      </c>
      <c r="FO10" s="278">
        <f>FN7+$A$3</f>
        <v>0.95</v>
      </c>
      <c r="FP10" s="278">
        <f>1-SUM(FR10:FZ10)+$A$3</f>
        <v>0.95</v>
      </c>
      <c r="FQ10" s="5">
        <v>0</v>
      </c>
      <c r="FR10" s="5">
        <v>0</v>
      </c>
      <c r="FS10" s="5">
        <v>0</v>
      </c>
      <c r="FT10" s="5">
        <v>0</v>
      </c>
      <c r="FU10" s="5">
        <v>0</v>
      </c>
      <c r="FV10" s="5">
        <v>0</v>
      </c>
      <c r="FW10" s="5">
        <v>0</v>
      </c>
      <c r="FX10" s="5">
        <v>0</v>
      </c>
      <c r="FY10" s="5">
        <v>0</v>
      </c>
      <c r="FZ10" s="108">
        <v>0</v>
      </c>
      <c r="GA10" s="1"/>
      <c r="GB10" s="346">
        <v>2020</v>
      </c>
      <c r="GC10" s="278">
        <f>GC$7+$A$3</f>
        <v>0.95</v>
      </c>
      <c r="GD10" s="278">
        <f>GC7+$A$3</f>
        <v>0.95</v>
      </c>
      <c r="GE10" s="278">
        <f>1-SUM(GG10:GO10)+$A$3</f>
        <v>0.95</v>
      </c>
      <c r="GF10" s="5">
        <v>0</v>
      </c>
      <c r="GG10" s="5">
        <v>0</v>
      </c>
      <c r="GH10" s="5">
        <v>0</v>
      </c>
      <c r="GI10" s="5">
        <v>0</v>
      </c>
      <c r="GJ10" s="5">
        <v>0</v>
      </c>
      <c r="GK10" s="5">
        <v>0</v>
      </c>
      <c r="GL10" s="5">
        <v>0</v>
      </c>
      <c r="GM10" s="5">
        <v>0</v>
      </c>
      <c r="GN10" s="5">
        <v>0</v>
      </c>
      <c r="GO10" s="108">
        <v>0</v>
      </c>
      <c r="GP10" s="1"/>
      <c r="GQ10" s="346">
        <v>2020</v>
      </c>
      <c r="GR10" s="278">
        <f>GR$7+$A$3</f>
        <v>0.95</v>
      </c>
      <c r="GS10" s="278">
        <f>GR7+$A$3</f>
        <v>0.95</v>
      </c>
      <c r="GT10" s="278">
        <f>1-SUM(GV10:HD10)+$A$3</f>
        <v>0.95</v>
      </c>
      <c r="GU10" s="5">
        <v>0</v>
      </c>
      <c r="GV10" s="5">
        <v>0</v>
      </c>
      <c r="GW10" s="5">
        <v>0</v>
      </c>
      <c r="GX10" s="5">
        <v>0</v>
      </c>
      <c r="GY10" s="5">
        <v>0</v>
      </c>
      <c r="GZ10" s="5">
        <v>0</v>
      </c>
      <c r="HA10" s="5">
        <v>0</v>
      </c>
      <c r="HB10" s="5">
        <v>0</v>
      </c>
      <c r="HC10" s="5">
        <v>0</v>
      </c>
      <c r="HD10" s="108">
        <v>0</v>
      </c>
      <c r="HE10" s="1"/>
      <c r="HF10" s="346">
        <v>2020</v>
      </c>
      <c r="HG10" s="278">
        <f>HG$7+$A$3</f>
        <v>0.95</v>
      </c>
      <c r="HH10" s="278">
        <f>HG7+$A$3</f>
        <v>0.95</v>
      </c>
      <c r="HI10" s="278">
        <f>1-SUM(HK10:HS10)+$A$3</f>
        <v>0.95</v>
      </c>
      <c r="HJ10" s="5">
        <v>0</v>
      </c>
      <c r="HK10" s="5">
        <v>0</v>
      </c>
      <c r="HL10" s="5">
        <v>0</v>
      </c>
      <c r="HM10" s="5">
        <v>0</v>
      </c>
      <c r="HN10" s="5">
        <v>0</v>
      </c>
      <c r="HO10" s="5">
        <v>0</v>
      </c>
      <c r="HP10" s="5">
        <v>0</v>
      </c>
      <c r="HQ10" s="5">
        <v>0</v>
      </c>
      <c r="HR10" s="5">
        <v>0</v>
      </c>
      <c r="HS10" s="108">
        <v>0</v>
      </c>
      <c r="HT10" s="1"/>
      <c r="HU10" s="346">
        <v>2020</v>
      </c>
      <c r="HV10" s="278">
        <f>HV$7+$A$3</f>
        <v>0.95</v>
      </c>
      <c r="HW10" s="278">
        <f>HV7+$A$3</f>
        <v>0.95</v>
      </c>
      <c r="HX10" s="278">
        <f>1-SUM(HZ10:IH10)+$A$3</f>
        <v>0.95</v>
      </c>
      <c r="HY10" s="5">
        <v>0</v>
      </c>
      <c r="HZ10" s="5">
        <v>0</v>
      </c>
      <c r="IA10" s="5">
        <v>0</v>
      </c>
      <c r="IB10" s="5">
        <v>0</v>
      </c>
      <c r="IC10" s="5">
        <v>0</v>
      </c>
      <c r="ID10" s="5">
        <v>0</v>
      </c>
      <c r="IE10" s="5">
        <v>0</v>
      </c>
      <c r="IF10" s="5">
        <v>0</v>
      </c>
      <c r="IG10" s="5">
        <v>0</v>
      </c>
      <c r="IH10" s="108">
        <v>0</v>
      </c>
      <c r="II10" s="1"/>
      <c r="IJ10" s="346">
        <v>2020</v>
      </c>
      <c r="IK10" s="278">
        <f>IK$7+$A$3</f>
        <v>0.95</v>
      </c>
      <c r="IL10" s="278">
        <f>IK7+$A$3</f>
        <v>0.95</v>
      </c>
      <c r="IM10" s="278">
        <f>1-SUM(IO10:IW10)+$A$3</f>
        <v>0.95</v>
      </c>
      <c r="IN10" s="5">
        <v>0</v>
      </c>
      <c r="IO10" s="5">
        <v>0</v>
      </c>
      <c r="IP10" s="5">
        <v>0</v>
      </c>
      <c r="IQ10" s="5">
        <v>0</v>
      </c>
      <c r="IR10" s="5">
        <v>0</v>
      </c>
      <c r="IS10" s="5">
        <v>0</v>
      </c>
      <c r="IT10" s="5">
        <v>0</v>
      </c>
      <c r="IU10" s="5">
        <v>0</v>
      </c>
      <c r="IV10" s="5">
        <v>0</v>
      </c>
      <c r="IW10" s="108">
        <v>0</v>
      </c>
      <c r="IY10">
        <f>IJ10</f>
        <v>2020</v>
      </c>
      <c r="IZ10" s="3">
        <f>IM10</f>
        <v>0.95</v>
      </c>
      <c r="JA10" s="353">
        <f>HLOOKUP($JG$3,'Timing calculations'!JH$8:JT$39,3,FALSE)</f>
        <v>1</v>
      </c>
      <c r="JB10" s="3">
        <f>IK10</f>
        <v>0.95</v>
      </c>
      <c r="JC10" s="353">
        <f>JB10/EY$10</f>
        <v>1</v>
      </c>
      <c r="JD10" s="418">
        <f>FM126</f>
        <v>0.95</v>
      </c>
      <c r="JE10" s="368">
        <f>JD10</f>
        <v>0.95</v>
      </c>
      <c r="JF10" s="369">
        <f>JE10/EY$10</f>
        <v>1</v>
      </c>
      <c r="JG10" s="361">
        <f>FA10</f>
        <v>0.95</v>
      </c>
      <c r="JH10" s="362">
        <f>JG10/FA$10</f>
        <v>1</v>
      </c>
      <c r="JI10" s="366">
        <f>FP10</f>
        <v>0.95</v>
      </c>
      <c r="JJ10" s="367">
        <f t="shared" ref="JJ10:JJ39" si="9">JI10/FP$10</f>
        <v>1</v>
      </c>
      <c r="JK10" s="363">
        <f>GE10</f>
        <v>0.95</v>
      </c>
      <c r="JL10" s="362">
        <f>JK10/GE$10</f>
        <v>1</v>
      </c>
      <c r="JM10" s="366">
        <f>GT10</f>
        <v>0.95</v>
      </c>
      <c r="JN10" s="367">
        <f>JM10/GT$10</f>
        <v>1</v>
      </c>
      <c r="JO10" s="363">
        <f>HI10</f>
        <v>0.95</v>
      </c>
      <c r="JP10" s="362">
        <f>JO10/HI$10</f>
        <v>1</v>
      </c>
      <c r="JQ10" s="366">
        <f>HX10</f>
        <v>0.95</v>
      </c>
      <c r="JR10" s="367">
        <f>JQ10/HX$10</f>
        <v>1</v>
      </c>
      <c r="JS10" s="363">
        <f>IM10</f>
        <v>0.95</v>
      </c>
      <c r="JT10" s="362">
        <f>JS10/IM$10</f>
        <v>1</v>
      </c>
    </row>
    <row r="11" spans="1:280">
      <c r="A11" s="259">
        <f>'1 StrategyMix for CarbonTargets'!V14</f>
        <v>0.6</v>
      </c>
      <c r="B11" s="247"/>
      <c r="C11" s="247"/>
      <c r="D11" s="247"/>
      <c r="E11" s="247"/>
      <c r="F11" s="247"/>
      <c r="V11" t="s">
        <v>301</v>
      </c>
      <c r="Z11" s="3">
        <f>SUM(L6:Y6)</f>
        <v>-0.41880107005554995</v>
      </c>
      <c r="AO11" s="89">
        <v>2021</v>
      </c>
      <c r="AP11" s="170">
        <f>IF($AO11&gt;=AP$6,IF($AO11&lt;=AP$9,AP$4/(AP$9-AP$6+1),AP$4),0)</f>
        <v>-9.6000000000000002E-4</v>
      </c>
      <c r="AQ11" s="170">
        <f>IF($AO11&gt;=AQ$6,IF($AO11&lt;=AQ$9,AQ$4/(AQ$9-AQ$6+1),AQ$4),0)</f>
        <v>0</v>
      </c>
      <c r="AR11" s="170">
        <f>IF($AO11&gt;=AR$6,IF($AO11&lt;=AR$9,AR$4/(AR$9-AR$6+1),AR$4),0)</f>
        <v>0</v>
      </c>
      <c r="AS11" s="170">
        <f>IF($AO11&gt;=AS$6,IF($AO11&lt;=AS$9,AS$4/(AS$9-AS$6+1),AS$4),0)</f>
        <v>-4.5000000000000005E-3</v>
      </c>
      <c r="AU11" s="170">
        <f>IF($AO11&gt;=AU$6,IF($AO11&lt;=AU$9,AU$4/(AU$9-AU$6+1),AU$4),0)</f>
        <v>-1.6788321167883215E-3</v>
      </c>
      <c r="AV11" s="170">
        <f>IF($AO11&gt;=AV$6,IF($AO11&lt;=AV$9,AV$4/(AV$9-AV$6+1),AV$4),0)</f>
        <v>-3.4793187347931871E-3</v>
      </c>
      <c r="AW11" s="170">
        <f>IF($AO11&gt;=AW$6,IF($AO11&lt;=AW$9,AW$4/(AW$9-AW$6+1),AW$4),0)</f>
        <v>-1.6350364963503651E-2</v>
      </c>
      <c r="AY11" s="170">
        <f>IF($AO11&gt;=AY$6,IF($AO11&lt;=AY$9,AY$4/(AY$9-AY$6+1),AY$4),0)</f>
        <v>-4.9905882352941156E-3</v>
      </c>
      <c r="AZ11" s="170">
        <f>IF($AO11&gt;=AZ$6,IF($AO11&lt;=AZ$9,(-$AY11*0.1)/(AZ$9-AZ$6-1),AZ$4),0)</f>
        <v>0</v>
      </c>
      <c r="BA11" s="284">
        <f>IF($AO11&gt;=BA$6,IF($AO11&lt;=BA$9,AB$5+(BA$4-AB$5)/(BA$9-BA$6+1),BA$4),0)</f>
        <v>-2.0463998191304324E-2</v>
      </c>
      <c r="BB11" s="276">
        <f>IF($AO11&gt;=BB$6,IF($AO11&lt;=BB$9,BB4/(BB$9-BB$6+1),BB$4),0)</f>
        <v>0</v>
      </c>
      <c r="BC11" s="277">
        <f t="shared" ref="BC11:BC40" si="10">BB11*(BA11/BA$4)</f>
        <v>0</v>
      </c>
      <c r="BD11" s="170">
        <f>IF($AO11&gt;=BD$6,IF($AO11&lt;=BD$9,(-$AY11*0.1)/(BD$9-BD$6+1),BD$4),0)</f>
        <v>0</v>
      </c>
      <c r="BE11" s="284">
        <f>IF($AO11&gt;=BE$6,IF($AO11&lt;=BE$9,AD$5+(BE$4-AD$5)/(BE$9-BE$6+1),BE$4),0)</f>
        <v>-2.0463998191304365E-2</v>
      </c>
      <c r="BF11" s="276">
        <f>IF($AO11&gt;=BF$6,IF($AO11&lt;=BF$9,BF4/(BF$9-BF$6+1),BF$4),0)</f>
        <v>0</v>
      </c>
      <c r="BG11" s="277">
        <f t="shared" ref="BG11:BG40" si="11">BF11*(BE11/BE$4)</f>
        <v>0</v>
      </c>
      <c r="BH11" s="170">
        <f>IF($AO11&gt;=BH$6,IF($AO11&lt;=BH$9,(-$AY11*0.2)/(BH$9-BH$6+1),BH$4),0)</f>
        <v>0</v>
      </c>
      <c r="BI11" s="284">
        <f>IF($AO11&gt;=BI$6,IF($AO11&lt;=BI$9,AF$5+(BI$4-AF$5)/(BI$9-BI$6+1),BI$4),0)</f>
        <v>-4.0927996382608717E-2</v>
      </c>
      <c r="BJ11" s="276">
        <f>IF($AO11&gt;=BJ$6,IF($AO11&lt;=BJ$9,BJ4/(BJ$9-BJ$6+1),BJ$4),0)</f>
        <v>0</v>
      </c>
      <c r="BK11" s="277">
        <f t="shared" ref="BK11:BK40" si="12">BJ11*(BI11/BI$4)</f>
        <v>0</v>
      </c>
      <c r="BL11" s="170">
        <f>IF($AO11&gt;=BL$6,IF($AO11&lt;=BL$9,(-$AY11*0.2)/(BL$9-BL$6+1),BL$4),0)</f>
        <v>0</v>
      </c>
      <c r="BM11" s="284">
        <f>IF($AO11&gt;=BM$6,IF($AO11&lt;=BM$9,AH$5+(BM$4-AH$5)/(BM$9-BM$6+1),BM$4),0)</f>
        <v>-4.0927996382608675E-2</v>
      </c>
      <c r="BN11" s="276">
        <f>IF($AO11&gt;=BN$6,IF($AO11&lt;=BN$9,BN4/(BN$9-BN$6+1),BN$4),0)</f>
        <v>0</v>
      </c>
      <c r="BO11" s="277">
        <f t="shared" ref="BO11:BO40" si="13">BN11*(BM11/BM$4)</f>
        <v>0</v>
      </c>
      <c r="BP11" s="170">
        <f>IF($AO11&gt;=BP$6,IF($AO11&lt;=BP$9,(-$AY11*0.2)/(BP$9-BP$6+1),BP$4),0)</f>
        <v>0</v>
      </c>
      <c r="BQ11" s="284">
        <f>IF($AO11&gt;=BQ$6,IF($AO11&lt;=BQ$9,AJ$5+(BQ$4-AJ$5)/(BQ$9-BQ$6+1),BQ$4),0)</f>
        <v>-4.0927996382608731E-2</v>
      </c>
      <c r="BR11" s="276">
        <f>IF($AO11&gt;=BR$6,IF($AO11&lt;=BR$9,BR4/(BR$9-BR$6+1),BR$4),0)</f>
        <v>0</v>
      </c>
      <c r="BS11" s="277">
        <f t="shared" ref="BS11:BS40" si="14">BR11*(BQ11/BQ$4)</f>
        <v>0</v>
      </c>
      <c r="BT11" s="170">
        <f>IF($AO11&gt;=BT$6,IF($AO11&lt;=BT$9,(-$AY11*0.2)/(BT$9-BT$6+1),BT$4),0)</f>
        <v>0</v>
      </c>
      <c r="BU11" s="284">
        <f>IF($AO11&gt;=BU$6,IF($AO11&lt;=BU$9,AL$5+(BU$4-AL$5)/(BU$9-BU$6+1),BU$4),0)</f>
        <v>-4.0927996382608675E-2</v>
      </c>
      <c r="BV11" s="276">
        <f>IF($AO11&gt;=BV$6,IF($AO11&lt;=BV$9,BV4/(BV$9-BV$6+1),BV$4),0)</f>
        <v>0</v>
      </c>
      <c r="BW11" s="278">
        <f t="shared" ref="BW11:BW40" si="15">BV11*(BU11/BU$4)</f>
        <v>0</v>
      </c>
      <c r="BX11" s="389">
        <f>IF(BX$1=0,AY11,IF(BX$1=0.1,AY11+AZ11,IF(BX$1=0.2,AY11+AZ11+BD11,IF(BX$1=0.4,AY11+AZ11+BD11+BH11,IF(BX$1=0.6,AY11+AZ11+BD11+BH11+BL11,IF(BX$1=0.8,AY11+AZ11+BD11+BH11+BL11+BP11,IF(BX$1=1,AY11+AZ11+BD11+BH11+BL11+BT11,0)))))))</f>
        <v>-4.9905882352941156E-3</v>
      </c>
      <c r="BY11" s="390">
        <f>IF(BY$1=0,0,IF(BY$1=0.1,BC11,IF(BY$1=0.2,BC11+BG11,IF(BY$1=0.4,BC11+BG11+BK11,IF(BY$1=0.6,BC11+BG11+BK11+BO11,IF(BY$1=0.8,BC11+BG11+BK11+BO11+BS11,IF(BY$1=1,BC11+BG11+BK11+BO11+BS11+BW11,0)))))))</f>
        <v>0</v>
      </c>
      <c r="BZ11" s="278"/>
      <c r="CB11" s="279">
        <f t="shared" ref="CB11:CB20" si="16">SUM(AP11:AY11)</f>
        <v>-3.1959104050379272E-2</v>
      </c>
      <c r="CC11" s="64">
        <f t="shared" ref="CC11:CC40" si="17">SUM(AP11:AZ11)+BC11</f>
        <v>-3.1959104050379272E-2</v>
      </c>
      <c r="CD11" s="64">
        <f t="shared" ref="CD11:CD40" si="18">SUM(AP11:AZ11)+BC11+BD11+BG11</f>
        <v>-3.1959104050379272E-2</v>
      </c>
      <c r="CE11" s="64">
        <f t="shared" ref="CE11:CE40" si="19">SUM(AP11:AZ11)+BC11+BD11+BG11+BH11+BK11</f>
        <v>-3.1959104050379272E-2</v>
      </c>
      <c r="CF11" s="64">
        <f t="shared" ref="CF11:CF40" si="20">SUM(AP11:AZ11)+BC11+BD11+BG11+BH11+BK11+BL11+BO11</f>
        <v>-3.1959104050379272E-2</v>
      </c>
      <c r="CG11" s="64">
        <f t="shared" ref="CG11:CG40" si="21">SUM(AP11:AZ11)+BC11+BD11+BG11+BH11+BK11+BL11+BO11+BP11+BS11</f>
        <v>-3.1959104050379272E-2</v>
      </c>
      <c r="CH11" s="64">
        <f t="shared" ref="CH11:CH40" si="22">SUM(AP11:AZ11)+BC11+BD11+BG11+BH11+BK11+BL11+BO11+BP11+BS11+BT11+BW11</f>
        <v>-3.1959104050379272E-2</v>
      </c>
      <c r="CI11">
        <v>2021</v>
      </c>
      <c r="CJ11" s="240"/>
      <c r="CL11">
        <v>2021</v>
      </c>
      <c r="CM11" s="3">
        <f>1+$A$3</f>
        <v>0.95</v>
      </c>
      <c r="CN11" s="64">
        <f t="shared" ref="CN11:CQ40" si="23">CM11+AP11</f>
        <v>0.94903999999999999</v>
      </c>
      <c r="CO11" s="64">
        <f t="shared" si="23"/>
        <v>0.94903999999999999</v>
      </c>
      <c r="CP11" s="64">
        <f t="shared" si="23"/>
        <v>0.94903999999999999</v>
      </c>
      <c r="CQ11" s="64">
        <f t="shared" si="23"/>
        <v>0.94454000000000005</v>
      </c>
      <c r="CR11" s="64">
        <f t="shared" ref="CR11:CT40" si="24">CQ11+AU11</f>
        <v>0.94286116788321173</v>
      </c>
      <c r="CS11" s="64">
        <f t="shared" si="24"/>
        <v>0.93938184914841849</v>
      </c>
      <c r="CT11" s="64">
        <f t="shared" si="24"/>
        <v>0.92303148418491487</v>
      </c>
      <c r="CU11" s="64">
        <f t="shared" ref="CU11:CV40" si="25">CT11+AY11</f>
        <v>0.91804089594962079</v>
      </c>
      <c r="CV11" s="64">
        <f t="shared" si="25"/>
        <v>0.91804089594962079</v>
      </c>
      <c r="CW11" s="65">
        <f>CV11+BC11</f>
        <v>0.91804089594962079</v>
      </c>
      <c r="CX11" s="64">
        <f>CV11+BD11</f>
        <v>0.91804089594962079</v>
      </c>
      <c r="CY11" s="65">
        <f>CX11+BC11+BG11</f>
        <v>0.91804089594962079</v>
      </c>
      <c r="CZ11" s="64">
        <f>CX11+BH11</f>
        <v>0.91804089594962079</v>
      </c>
      <c r="DA11" s="65">
        <f>CZ11+BC11+BG11+BK11</f>
        <v>0.91804089594962079</v>
      </c>
      <c r="DB11" s="64">
        <f>CZ11+BL11</f>
        <v>0.91804089594962079</v>
      </c>
      <c r="DC11" s="65">
        <f>DB11+BC11+BG11+BK11+BO11</f>
        <v>0.91804089594962079</v>
      </c>
      <c r="DD11" s="64">
        <f>DB11+BP11</f>
        <v>0.91804089594962079</v>
      </c>
      <c r="DE11" s="65">
        <f>DD11+BC11+BG11+BK11+BO11+BS11</f>
        <v>0.91804089594962079</v>
      </c>
      <c r="DF11" s="64">
        <f>DD11+BT11</f>
        <v>0.91804089594962079</v>
      </c>
      <c r="DG11" s="65">
        <f>DF11+BC11+BG11+BK11+BO11+BS11+BW11</f>
        <v>0.91804089594962079</v>
      </c>
      <c r="DL11">
        <v>2021</v>
      </c>
      <c r="DM11" s="64">
        <f>DG11</f>
        <v>0.91804089594962079</v>
      </c>
      <c r="DN11" s="64">
        <f>DE11</f>
        <v>0.91804089594962079</v>
      </c>
      <c r="DO11" s="64">
        <f>DC11</f>
        <v>0.91804089594962079</v>
      </c>
      <c r="DP11" s="64">
        <f>DA11</f>
        <v>0.91804089594962079</v>
      </c>
      <c r="DQ11" s="64">
        <f>CY11</f>
        <v>0.91804089594962079</v>
      </c>
      <c r="DR11" s="64">
        <f>CW11</f>
        <v>0.91804089594962079</v>
      </c>
      <c r="DS11" s="64">
        <f t="shared" ref="DS11:DS40" si="26">CU11</f>
        <v>0.91804089594962079</v>
      </c>
      <c r="DT11" s="64">
        <f t="shared" ref="DT11:DT40" si="27">CT11</f>
        <v>0.92303148418491487</v>
      </c>
      <c r="DU11" s="64">
        <f t="shared" ref="DU11:DU40" si="28">CS11</f>
        <v>0.93938184914841849</v>
      </c>
      <c r="DV11" s="64">
        <f t="shared" ref="DV11:DV40" si="29">CR11</f>
        <v>0.94286116788321173</v>
      </c>
      <c r="DW11" s="64">
        <f t="shared" ref="DW11:DW40" si="30">CQ11</f>
        <v>0.94454000000000005</v>
      </c>
      <c r="DX11" s="64">
        <f t="shared" ref="DX11:DX40" si="31">CP11</f>
        <v>0.94903999999999999</v>
      </c>
      <c r="DY11" s="64">
        <f t="shared" ref="DY11:DY40" si="32">CO11</f>
        <v>0.94903999999999999</v>
      </c>
      <c r="DZ11" s="64">
        <f t="shared" ref="DZ11:DZ40" si="33">CN11</f>
        <v>0.94903999999999999</v>
      </c>
      <c r="EA11" s="3">
        <f>1+$A$3</f>
        <v>0.95</v>
      </c>
      <c r="EB11">
        <v>2021</v>
      </c>
      <c r="EC11" s="269">
        <f>1-SUM(ED11:ER11)</f>
        <v>0.91804089594962079</v>
      </c>
      <c r="ED11" s="269">
        <f>-$A$3</f>
        <v>0.05</v>
      </c>
      <c r="EE11" s="64">
        <f t="shared" ref="EE11:ER26" si="34">(DN11-DM11)</f>
        <v>0</v>
      </c>
      <c r="EF11" s="64">
        <f t="shared" si="34"/>
        <v>0</v>
      </c>
      <c r="EG11" s="64">
        <f t="shared" si="34"/>
        <v>0</v>
      </c>
      <c r="EH11" s="64">
        <f t="shared" si="34"/>
        <v>0</v>
      </c>
      <c r="EI11" s="64">
        <f t="shared" si="34"/>
        <v>0</v>
      </c>
      <c r="EJ11" s="64">
        <f t="shared" si="34"/>
        <v>0</v>
      </c>
      <c r="EK11" s="64">
        <f t="shared" si="34"/>
        <v>4.99058823529408E-3</v>
      </c>
      <c r="EL11" s="64">
        <f t="shared" si="34"/>
        <v>1.6350364963503616E-2</v>
      </c>
      <c r="EM11" s="64">
        <f t="shared" si="34"/>
        <v>3.4793187347932353E-3</v>
      </c>
      <c r="EN11" s="64">
        <f t="shared" si="34"/>
        <v>1.6788321167883202E-3</v>
      </c>
      <c r="EO11" s="64">
        <f t="shared" si="34"/>
        <v>4.4999999999999485E-3</v>
      </c>
      <c r="EP11" s="64">
        <f t="shared" si="34"/>
        <v>0</v>
      </c>
      <c r="EQ11" s="64">
        <f t="shared" si="34"/>
        <v>0</v>
      </c>
      <c r="ER11" s="64">
        <f t="shared" si="34"/>
        <v>9.5999999999996088E-4</v>
      </c>
      <c r="ES11" s="3"/>
      <c r="EX11" s="89">
        <v>2021</v>
      </c>
      <c r="EY11" s="278">
        <f>EY$7+$A$3+((EX11-2020)*($A$6/30))</f>
        <v>0.95333333333333325</v>
      </c>
      <c r="EZ11" s="278"/>
      <c r="FA11" s="278">
        <f>1-SUM(FC11:FK11)+(EY11-1)</f>
        <v>0.92126769893611948</v>
      </c>
      <c r="FB11" s="278">
        <f t="shared" ref="FB11:FB40" si="35">-$A$3</f>
        <v>0.05</v>
      </c>
      <c r="FC11" s="64">
        <f>-($BC11+$BG11+$BK11+$BO11+$BS11+$BW11)*(1+$EY11-$EY$10)</f>
        <v>0</v>
      </c>
      <c r="FD11" s="64">
        <f>-($AY11+$AZ11+$BD11+$BH11+$BL11+$BP11+$BT11)*(1+$EY11-$EY$10)</f>
        <v>5.0072235294117617E-3</v>
      </c>
      <c r="FE11" s="64">
        <f>$EL11*(1+$EY11-$EY$10)</f>
        <v>1.6404866180048626E-2</v>
      </c>
      <c r="FF11" s="64">
        <f>$EM11*(1+$EY11-$EY$10)</f>
        <v>3.4909164639092124E-3</v>
      </c>
      <c r="FG11" s="64">
        <f>$EN11*(1+$EY11-$EY$10)</f>
        <v>1.684428223844281E-3</v>
      </c>
      <c r="FH11" s="64">
        <f>$EO11*(1+$EY11-$EY$10)</f>
        <v>4.5149999999999479E-3</v>
      </c>
      <c r="FI11" s="64">
        <f>$EP11*(1+$EY11-$EY$10)</f>
        <v>0</v>
      </c>
      <c r="FJ11" s="64">
        <f>$EQ11*(1+$EY11-$EY$10)</f>
        <v>0</v>
      </c>
      <c r="FK11" s="280">
        <f>$ER11*(1+$EY11-$EY$10)</f>
        <v>9.6319999999996064E-4</v>
      </c>
      <c r="FL11" s="64"/>
      <c r="FM11" s="89">
        <v>2021</v>
      </c>
      <c r="FN11" s="278">
        <f>FN$7+$A$3+((FM11-2020)*($A$6/30))</f>
        <v>0.95333333333333325</v>
      </c>
      <c r="FP11" s="278">
        <f>1-SUM(FR11:FZ11)+(FN11-1)</f>
        <v>0.92126769893611948</v>
      </c>
      <c r="FQ11" s="278">
        <f>-$A$3</f>
        <v>0.05</v>
      </c>
      <c r="FR11" s="64">
        <f>-($BC11+$BG11+$BK11+$BO11+$BS11)*(1+$EY11-$EY$10)</f>
        <v>0</v>
      </c>
      <c r="FS11" s="64">
        <f>-($AY11+$AZ11+$BD11+$BH11+$BL11+$BP11)*(1+$EY11-$EY$10)</f>
        <v>5.0072235294117617E-3</v>
      </c>
      <c r="FT11" s="64">
        <f>$EL11*(1+$EY11-$EY$10)</f>
        <v>1.6404866180048626E-2</v>
      </c>
      <c r="FU11" s="64">
        <f>$EM11*(1+$EY11-$EY$10)</f>
        <v>3.4909164639092124E-3</v>
      </c>
      <c r="FV11" s="64">
        <f>$EN11*(1+$EY11-$EY$10)</f>
        <v>1.684428223844281E-3</v>
      </c>
      <c r="FW11" s="64">
        <f>$EO11*(1+$EY11-$EY$10)</f>
        <v>4.5149999999999479E-3</v>
      </c>
      <c r="FX11" s="64">
        <f>$EP11*(1+$EY11-$EY$10)</f>
        <v>0</v>
      </c>
      <c r="FY11" s="64">
        <f>$EQ11*(1+$EY11-$EY$10)</f>
        <v>0</v>
      </c>
      <c r="FZ11" s="280">
        <f>$ER11*(1+$EY11-$EY$10)</f>
        <v>9.6319999999996064E-4</v>
      </c>
      <c r="GA11" s="64"/>
      <c r="GB11" s="89">
        <v>2021</v>
      </c>
      <c r="GC11" s="278">
        <f>GC$7+$A$3+((GB11-2020)*($A$6/30))</f>
        <v>0.95333333333333325</v>
      </c>
      <c r="GE11" s="278">
        <f>1-SUM(GG11:GO11)+(GC11-1)</f>
        <v>0.92126769893611948</v>
      </c>
      <c r="GF11" s="278">
        <f>-$A$3</f>
        <v>0.05</v>
      </c>
      <c r="GG11" s="64">
        <f>-($BC11+$BG11+$BK11+$BO11)*(1+$EY11-$EY$10)</f>
        <v>0</v>
      </c>
      <c r="GH11" s="64">
        <f>-($AY11+$AZ11+$BD11+$BH11+$BL11)*(1+$EY11-$EY$10)</f>
        <v>5.0072235294117617E-3</v>
      </c>
      <c r="GI11" s="64">
        <f>$EL11*(1+$EY11-$EY$10)</f>
        <v>1.6404866180048626E-2</v>
      </c>
      <c r="GJ11" s="64">
        <f>$EM11*(1+$EY11-$EY$10)</f>
        <v>3.4909164639092124E-3</v>
      </c>
      <c r="GK11" s="64">
        <f>$EN11*(1+$EY11-$EY$10)</f>
        <v>1.684428223844281E-3</v>
      </c>
      <c r="GL11" s="64">
        <f>$EO11*(1+$EY11-$EY$10)</f>
        <v>4.5149999999999479E-3</v>
      </c>
      <c r="GM11" s="64">
        <f>$EP11*(1+$EY11-$EY$10)</f>
        <v>0</v>
      </c>
      <c r="GN11" s="64">
        <f>$EQ11*(1+$EY11-$EY$10)</f>
        <v>0</v>
      </c>
      <c r="GO11" s="280">
        <f>$ER11*(1+$EY11-$EY$10)</f>
        <v>9.6319999999996064E-4</v>
      </c>
      <c r="GP11" s="64"/>
      <c r="GQ11" s="89">
        <v>2021</v>
      </c>
      <c r="GR11" s="278">
        <f>GR$7+$A$3+((GQ11-2020)*($A$6/30))</f>
        <v>0.95333333333333325</v>
      </c>
      <c r="GT11" s="278">
        <f>1-SUM(GV11:HD11)+(GR11-1)</f>
        <v>0.92126769893611948</v>
      </c>
      <c r="GU11" s="278">
        <f>-$A$3</f>
        <v>0.05</v>
      </c>
      <c r="GV11" s="64">
        <f>-($BC11+$BG11+$BK11)*(1+$EY11-$EY$10)</f>
        <v>0</v>
      </c>
      <c r="GW11" s="64">
        <f>-($AY11+$AZ11+$BD11+$BH11)*(1+$EY11-$EY$10)</f>
        <v>5.0072235294117617E-3</v>
      </c>
      <c r="GX11" s="64">
        <f>$EL11*(1+$EY11-$EY$10)</f>
        <v>1.6404866180048626E-2</v>
      </c>
      <c r="GY11" s="64">
        <f>$EM11*(1+$EY11-$EY$10)</f>
        <v>3.4909164639092124E-3</v>
      </c>
      <c r="GZ11" s="64">
        <f>$EN11*(1+$EY11-$EY$10)</f>
        <v>1.684428223844281E-3</v>
      </c>
      <c r="HA11" s="64">
        <f>$EO11*(1+$EY11-$EY$10)</f>
        <v>4.5149999999999479E-3</v>
      </c>
      <c r="HB11" s="64">
        <f>$EP11*(1+$EY11-$EY$10)</f>
        <v>0</v>
      </c>
      <c r="HC11" s="64">
        <f>$EQ11*(1+$EY11-$EY$10)</f>
        <v>0</v>
      </c>
      <c r="HD11" s="280">
        <f>$ER11*(1+$EY11-$EY$10)</f>
        <v>9.6319999999996064E-4</v>
      </c>
      <c r="HE11" s="64"/>
      <c r="HF11" s="89">
        <v>2021</v>
      </c>
      <c r="HG11" s="278">
        <f>HG$7+$A$3+((HF11-2020)*($A$6/30))</f>
        <v>0.95333333333333325</v>
      </c>
      <c r="HI11" s="278">
        <f>1-SUM(HK11:HS11)+(HG11-1)</f>
        <v>0.92126769893611948</v>
      </c>
      <c r="HJ11" s="278">
        <f>-$A$3</f>
        <v>0.05</v>
      </c>
      <c r="HK11" s="64">
        <f>-($BC11+$BG11)*(1+$EY11-$EY$10)</f>
        <v>0</v>
      </c>
      <c r="HL11" s="64">
        <f>-($AY11+$AZ11+$BD11)*(1+$EY11-$EY$10)</f>
        <v>5.0072235294117617E-3</v>
      </c>
      <c r="HM11" s="64">
        <f>$EL11*(1+$EY11-$EY$10)</f>
        <v>1.6404866180048626E-2</v>
      </c>
      <c r="HN11" s="64">
        <f>$EM11*(1+$EY11-$EY$10)</f>
        <v>3.4909164639092124E-3</v>
      </c>
      <c r="HO11" s="64">
        <f>$EN11*(1+$EY11-$EY$10)</f>
        <v>1.684428223844281E-3</v>
      </c>
      <c r="HP11" s="64">
        <f>$EO11*(1+$EY11-$EY$10)</f>
        <v>4.5149999999999479E-3</v>
      </c>
      <c r="HQ11" s="64">
        <f>$EP11*(1+$EY11-$EY$10)</f>
        <v>0</v>
      </c>
      <c r="HR11" s="64">
        <f>$EQ11*(1+$EY11-$EY$10)</f>
        <v>0</v>
      </c>
      <c r="HS11" s="280">
        <f>$ER11*(1+$EY11-$EY$10)</f>
        <v>9.6319999999996064E-4</v>
      </c>
      <c r="HT11" s="64"/>
      <c r="HU11" s="89">
        <v>2021</v>
      </c>
      <c r="HV11" s="278">
        <f>HV$7+$A$3+((HU11-2020)*($A$6/30))</f>
        <v>0.95333333333333325</v>
      </c>
      <c r="HX11" s="278">
        <f>1-SUM(HZ11:IH11)+(HV11-1)</f>
        <v>0.92126769893611948</v>
      </c>
      <c r="HY11" s="278">
        <f>-$A$3</f>
        <v>0.05</v>
      </c>
      <c r="HZ11" s="64">
        <f>-($BC11)*(1+$EY11-$EY$10)</f>
        <v>0</v>
      </c>
      <c r="IA11" s="64">
        <f>-($AY11+$AZ11)*(1+$EY11-$EY$10)</f>
        <v>5.0072235294117617E-3</v>
      </c>
      <c r="IB11" s="64">
        <f>$EL11*(1+$EY11-$EY$10)</f>
        <v>1.6404866180048626E-2</v>
      </c>
      <c r="IC11" s="64">
        <f>$EM11*(1+$EY11-$EY$10)</f>
        <v>3.4909164639092124E-3</v>
      </c>
      <c r="ID11" s="64">
        <f>$EN11*(1+$EY11-$EY$10)</f>
        <v>1.684428223844281E-3</v>
      </c>
      <c r="IE11" s="64">
        <f>$EO11*(1+$EY11-$EY$10)</f>
        <v>4.5149999999999479E-3</v>
      </c>
      <c r="IF11" s="64">
        <f>$EP11*(1+$EY11-$EY$10)</f>
        <v>0</v>
      </c>
      <c r="IG11" s="64">
        <f>$EQ11*(1+$EY11-$EY$10)</f>
        <v>0</v>
      </c>
      <c r="IH11" s="280">
        <f>$ER11*(1+$EY11-$EY$10)</f>
        <v>9.6319999999996064E-4</v>
      </c>
      <c r="II11" s="64"/>
      <c r="IJ11" s="89">
        <v>2021</v>
      </c>
      <c r="IK11" s="278">
        <f>IK$7+$A$3+((IJ11-2020)*($A$6/30))</f>
        <v>0.95333333333333325</v>
      </c>
      <c r="IM11" s="278">
        <f>1-SUM(IO11:IW11)+(IK11-1)</f>
        <v>0.92126769893611948</v>
      </c>
      <c r="IN11" s="278">
        <f>-$A$3</f>
        <v>0.05</v>
      </c>
      <c r="IO11" s="64">
        <v>0</v>
      </c>
      <c r="IP11" s="64">
        <f>-$AY11*(1+$EY11-$EY$10)</f>
        <v>5.0072235294117617E-3</v>
      </c>
      <c r="IQ11" s="64">
        <f>$EL11*(1+$EY11-$EY$10)</f>
        <v>1.6404866180048626E-2</v>
      </c>
      <c r="IR11" s="64">
        <f>$EM11*(1+$EY11-$EY$10)</f>
        <v>3.4909164639092124E-3</v>
      </c>
      <c r="IS11" s="64">
        <f>$EN11*(1+$EY11-$EY$10)</f>
        <v>1.684428223844281E-3</v>
      </c>
      <c r="IT11" s="64">
        <f>$EO11*(1+$EY11-$EY$10)</f>
        <v>4.5149999999999479E-3</v>
      </c>
      <c r="IU11" s="64">
        <f>$EP11*(1+$EY11-$EY$10)</f>
        <v>0</v>
      </c>
      <c r="IV11" s="64">
        <f>$EQ11*(1+$EY11-$EY$10)</f>
        <v>0</v>
      </c>
      <c r="IW11" s="280">
        <f>$ER11*(1+$EY11-$EY$10)</f>
        <v>9.6319999999996064E-4</v>
      </c>
      <c r="IX11" s="3">
        <f>JE11-JE10</f>
        <v>0.89999999999999991</v>
      </c>
      <c r="IY11">
        <f t="shared" ref="IY11:IY40" si="36">IJ11</f>
        <v>2021</v>
      </c>
      <c r="IZ11" s="3">
        <f>IM11+IZ10</f>
        <v>1.8712676989361194</v>
      </c>
      <c r="JA11" s="353">
        <f>HLOOKUP($JG$3,'Timing calculations'!JH$8:JT$39,4,FALSE)</f>
        <v>1.9697554725643363</v>
      </c>
      <c r="JB11" s="3">
        <f>JB10+IK11</f>
        <v>1.9033333333333333</v>
      </c>
      <c r="JC11" s="353">
        <f>JB11/JE$10</f>
        <v>2.0035087719298246</v>
      </c>
      <c r="JD11" s="418">
        <f t="shared" ref="JD11:JD39" si="37">FM127</f>
        <v>0.89999999999999991</v>
      </c>
      <c r="JE11" s="368">
        <f>JD11+JE10</f>
        <v>1.8499999999999999</v>
      </c>
      <c r="JF11" s="369">
        <f>JE11/JE$10</f>
        <v>1.9473684210526316</v>
      </c>
      <c r="JG11" s="363">
        <f>FA11+JG10</f>
        <v>1.8712676989361194</v>
      </c>
      <c r="JH11" s="362">
        <f t="shared" ref="JH11:JH39" si="38">JG11/FA$10</f>
        <v>1.9697554725643363</v>
      </c>
      <c r="JI11" s="366">
        <f t="shared" ref="JI11:JI39" si="39">FP11+JI10</f>
        <v>1.8712676989361194</v>
      </c>
      <c r="JJ11" s="367">
        <f t="shared" si="9"/>
        <v>1.9697554725643363</v>
      </c>
      <c r="JK11" s="363">
        <f t="shared" ref="JK11:JK39" si="40">GE11+JK10</f>
        <v>1.8712676989361194</v>
      </c>
      <c r="JL11" s="362">
        <f t="shared" ref="JL11:JL40" si="41">JK11/GE$10</f>
        <v>1.9697554725643363</v>
      </c>
      <c r="JM11" s="366">
        <f>GT11+JM10</f>
        <v>1.8712676989361194</v>
      </c>
      <c r="JN11" s="367">
        <f t="shared" ref="JN11:JN40" si="42">JM11/GT$10</f>
        <v>1.9697554725643363</v>
      </c>
      <c r="JO11" s="363">
        <f>HI11+JO10</f>
        <v>1.8712676989361194</v>
      </c>
      <c r="JP11" s="362">
        <f t="shared" ref="JP11:JP40" si="43">JO11/HI$10</f>
        <v>1.9697554725643363</v>
      </c>
      <c r="JQ11" s="366">
        <f>HX11+JQ10</f>
        <v>1.8712676989361194</v>
      </c>
      <c r="JR11" s="367">
        <f t="shared" ref="JR11:JR40" si="44">JQ11/HX$10</f>
        <v>1.9697554725643363</v>
      </c>
      <c r="JS11" s="363">
        <f>IM11+JS10</f>
        <v>1.8712676989361194</v>
      </c>
      <c r="JT11" s="362">
        <f t="shared" ref="JT11:JT40" si="45">JS11/IM$10</f>
        <v>1.9697554725643363</v>
      </c>
    </row>
    <row r="12" spans="1:280">
      <c r="A12" s="247"/>
      <c r="B12" s="247"/>
      <c r="C12" s="247"/>
      <c r="D12" s="247"/>
      <c r="E12" s="247"/>
      <c r="F12" s="247"/>
      <c r="V12" t="s">
        <v>302</v>
      </c>
      <c r="Z12" s="3">
        <f>SUM(L9:Y9)</f>
        <v>-0.88843859923478274</v>
      </c>
      <c r="AJ12" t="s">
        <v>219</v>
      </c>
      <c r="AO12" s="89">
        <v>2022</v>
      </c>
      <c r="AP12" s="170">
        <f>IF($AO12&gt;=AP$6,IF($AO12&lt;=AP$9,AP$4/(AP$9-AP$6+1)+AP11,AP$4),0)</f>
        <v>-1.92E-3</v>
      </c>
      <c r="AQ12" s="170">
        <f>IF($AO12&gt;=AQ$6,IF($AO12&lt;=AQ$9,AQ$4/(AQ$9-AQ$6+1)+AQ11,AQ$4),0)</f>
        <v>0</v>
      </c>
      <c r="AR12" s="170">
        <f>IF($AO12&gt;=AR$6,IF($AO12&lt;=AR$9,AR$4/(AR$9-AR$6+1)+AR11,AR$4),0)</f>
        <v>0</v>
      </c>
      <c r="AS12" s="170">
        <f>IF($AO12&gt;=AS$6,IF($AO12&lt;=AS$9,AS$4/(AS$9-AS$6+1)+AS11,AS$4),0)</f>
        <v>-9.0000000000000011E-3</v>
      </c>
      <c r="AU12" s="170">
        <f>IF($AO12&gt;=AU$6,IF($AO12&lt;=AU$9,AU$4/(AU$9-AU$6+1)+AU11,AU$4),0)</f>
        <v>-3.3576642335766431E-3</v>
      </c>
      <c r="AV12" s="170">
        <f>IF($AO12&gt;=AV$6,IF($AO12&lt;=AV$9,AV$4/(AV$9-AV$6+1)+AV11,AV$4),0)</f>
        <v>-6.9586374695863743E-3</v>
      </c>
      <c r="AW12" s="170">
        <f>IF($AO12&gt;=AW$6,IF($AO12&lt;=AW$9,AW$4/(AW$9-AW$6+1)+AW11,AW$4),0)</f>
        <v>-3.2700729927007302E-2</v>
      </c>
      <c r="AY12" s="170">
        <f>IF($AO12&gt;=AY$6,IF($AO12&lt;=AY$9,AY$4/(AY$9-AY$6+1)+AY11,AY$4),0)</f>
        <v>-9.9811764705882312E-3</v>
      </c>
      <c r="AZ12" s="278">
        <f>IF($AO12&gt;=AZ$6,IF($AO12&lt;=AZ$9,(($AZ$4)/(AZ$9-AZ$6))+AZ11,AZ$4),0)</f>
        <v>0</v>
      </c>
      <c r="BA12" s="284">
        <f>IF($AO12&gt;=BA$6,IF($AO12&lt;=BA$9,(BA$4-AB$5)/(BA$9-BA$6+1)+BA11,BA$4),0)</f>
        <v>-2.1096093078260846E-2</v>
      </c>
      <c r="BB12" s="276">
        <f>IF($AO12&gt;=BB$6,IF($AO12&lt;=BB$9,BB$4/(BB$9-BB$6+1)+BB11,BB$4),0)</f>
        <v>0</v>
      </c>
      <c r="BC12" s="277">
        <f t="shared" si="10"/>
        <v>0</v>
      </c>
      <c r="BD12" s="278">
        <f>IF($AO12&gt;=BD$6,IF($AO12&lt;=BD$9,(($BD$4)/(BD$9-BD$6))+BD11,BD$4),0)</f>
        <v>0</v>
      </c>
      <c r="BE12" s="284">
        <f>IF($AO12&gt;=BE$6,IF($AO12&lt;=BE$9,(BE$4-AD$5)/(BE$9-BE$6+1)+BE11,BE$4),0)</f>
        <v>-2.1096093078260887E-2</v>
      </c>
      <c r="BF12" s="276">
        <f>IF($AO12&gt;=BF$6,IF($AO12&lt;=BF$9,BF$4/(BF$9-BF$6+1)+BF11,BF$4),0)</f>
        <v>0</v>
      </c>
      <c r="BG12" s="277">
        <f t="shared" si="11"/>
        <v>0</v>
      </c>
      <c r="BH12" s="278">
        <f>IF($AO12&gt;=BH$6,IF($AO12&lt;=BH$9,(($BH$4)/(BH$9-BH$6+1))+BH11,BH$4),0)</f>
        <v>0</v>
      </c>
      <c r="BI12" s="284">
        <f>IF($AO12&gt;=BI$6,IF($AO12&lt;=BI$9,(BI$4-AF$5)/(BI$9-BI$6+1)+BI11,BI$4),0)</f>
        <v>-4.219218615652176E-2</v>
      </c>
      <c r="BJ12" s="276">
        <f>IF($AO12&gt;=BJ$6,IF($AO12&lt;=BJ$9,BJ$4/(BJ$9-BJ$6+1)+BJ11,BJ$4),0)</f>
        <v>0</v>
      </c>
      <c r="BK12" s="277">
        <f t="shared" si="12"/>
        <v>0</v>
      </c>
      <c r="BL12" s="278">
        <f>IF($AO12&gt;=BL$6,IF($AO12&lt;=BL$9,(($BL$4)/(BL$9-BL$6+1))+BL11,BL$4),0)</f>
        <v>0</v>
      </c>
      <c r="BM12" s="284">
        <f>IF($AO12&gt;=BM$6,IF($AO12&lt;=BM$9,(BM$4-AH$5)/(BM$9-BM$6+1)+BM11,BM$4),0)</f>
        <v>-4.2192186156521719E-2</v>
      </c>
      <c r="BN12" s="276">
        <f>IF($AO12&gt;=BN$6,IF($AO12&lt;=BN$9,BN$4/(BN$9-BN$6+1)+BN11,BN$4),0)</f>
        <v>0</v>
      </c>
      <c r="BO12" s="277">
        <f t="shared" si="13"/>
        <v>0</v>
      </c>
      <c r="BP12" s="278">
        <f>IF($AO12&gt;=BP$6,IF($AO12&lt;=BP$9,(($BP$4)/(BP$9-BP$6+1))+BP11,BP$4),0)</f>
        <v>0</v>
      </c>
      <c r="BQ12" s="284">
        <f>IF($AO12&gt;=BQ$6,IF($AO12&lt;=BQ$9,(BQ$4-AJ$5)/(BQ$9-BQ$6+1)+BQ11,BQ$4),0)</f>
        <v>-4.2192186156521774E-2</v>
      </c>
      <c r="BR12" s="276">
        <f>IF($AO12&gt;=BR$6,IF($AO12&lt;=BR$9,BR$4/(BR$9-BR$6+1)+BR11,BR$4),0)</f>
        <v>0</v>
      </c>
      <c r="BS12" s="277">
        <f t="shared" si="14"/>
        <v>0</v>
      </c>
      <c r="BT12" s="278">
        <f>IF($AO12&gt;=BT$6,IF($AO12&lt;=BT$9,(($BT$4)/(BT$9-BT$6+1))+BT11,BT$4),0)</f>
        <v>0</v>
      </c>
      <c r="BU12" s="284">
        <f>IF($AO12&gt;=BU$6,IF($AO12&lt;=BU$9,(BU$4-AL$5)/(BU$9-BU$6+1)+BU11,BU$4),0)</f>
        <v>-4.2192186156521719E-2</v>
      </c>
      <c r="BV12" s="276">
        <f>IF($AO12&gt;=BV$6,IF($AO12&lt;=BV$9,BV$4/(BV$9-BV$6+1)+BV11,BV$4),0)</f>
        <v>0</v>
      </c>
      <c r="BW12" s="278">
        <f t="shared" si="15"/>
        <v>0</v>
      </c>
      <c r="BX12" s="391">
        <f t="shared" ref="BX12:BX39" si="46">IF(BX$1=0,AY12,IF(BX$1=0.1,AY12+AZ12,IF(BX$1=0.2,AY12+AZ12+BD12,IF(BX$1=0.4,AY12+AZ12+BD12+BH12,IF(BX$1=0.6,AY12+AZ12+BD12+BH12+BL12,IF(BX$1=0.8,AY12+AZ12+BD12+BH12+BL12+BP12,IF(BX$1=1,AY12+AZ12+BD12+BH12+BL12++BP12+BT12,0)))))))</f>
        <v>-9.9811764705882312E-3</v>
      </c>
      <c r="BY12" s="392">
        <f t="shared" ref="BY12:BY40" si="47">IF(BY$1=0,0,IF(BY$1=0.1,BC12,IF(BY$1=0.2,BC12+BG12,IF(BY$1=0.4,BC12+BG12+BK12,IF(BY$1=0.6,BC12+BG12+BK12+BO12,IF(BY$1=0.8,BC12+BG12+BK12+BO12+BS12,IF(BY$1=1,BC12+BG12+BK12+BO12+BS12+BW12,0)))))))</f>
        <v>0</v>
      </c>
      <c r="BZ12" s="278"/>
      <c r="CB12" s="279">
        <f t="shared" si="16"/>
        <v>-6.3918208100758545E-2</v>
      </c>
      <c r="CC12" s="64">
        <f t="shared" si="17"/>
        <v>-6.3918208100758545E-2</v>
      </c>
      <c r="CD12" s="64">
        <f t="shared" si="18"/>
        <v>-6.3918208100758545E-2</v>
      </c>
      <c r="CE12" s="64">
        <f t="shared" si="19"/>
        <v>-6.3918208100758545E-2</v>
      </c>
      <c r="CF12" s="64">
        <f t="shared" si="20"/>
        <v>-6.3918208100758545E-2</v>
      </c>
      <c r="CG12" s="64">
        <f t="shared" si="21"/>
        <v>-6.3918208100758545E-2</v>
      </c>
      <c r="CH12" s="64">
        <f t="shared" si="22"/>
        <v>-6.3918208100758545E-2</v>
      </c>
      <c r="CI12">
        <v>2022</v>
      </c>
      <c r="CJ12" s="240"/>
      <c r="CL12">
        <v>2022</v>
      </c>
      <c r="CM12" s="3">
        <f t="shared" ref="CM12:CM40" si="48">1+$A$3</f>
        <v>0.95</v>
      </c>
      <c r="CN12" s="64">
        <f t="shared" si="23"/>
        <v>0.94807999999999992</v>
      </c>
      <c r="CO12" s="64">
        <f t="shared" si="23"/>
        <v>0.94807999999999992</v>
      </c>
      <c r="CP12" s="64">
        <f t="shared" si="23"/>
        <v>0.94807999999999992</v>
      </c>
      <c r="CQ12" s="64">
        <f t="shared" si="23"/>
        <v>0.93907999999999991</v>
      </c>
      <c r="CR12" s="64">
        <f t="shared" si="24"/>
        <v>0.93572233576642327</v>
      </c>
      <c r="CS12" s="64">
        <f t="shared" si="24"/>
        <v>0.92876369829683691</v>
      </c>
      <c r="CT12" s="64">
        <f t="shared" si="24"/>
        <v>0.89606296836982957</v>
      </c>
      <c r="CU12" s="64">
        <f t="shared" si="25"/>
        <v>0.8860817918992413</v>
      </c>
      <c r="CV12" s="64">
        <f t="shared" si="25"/>
        <v>0.8860817918992413</v>
      </c>
      <c r="CW12" s="65">
        <f t="shared" ref="CW12:CW40" si="49">CV12+BC12</f>
        <v>0.8860817918992413</v>
      </c>
      <c r="CX12" s="64">
        <f t="shared" ref="CX12:CX40" si="50">CV12+BD12</f>
        <v>0.8860817918992413</v>
      </c>
      <c r="CY12" s="65">
        <f t="shared" ref="CY12:CY40" si="51">CX12+BC12+BG12</f>
        <v>0.8860817918992413</v>
      </c>
      <c r="CZ12" s="64">
        <f t="shared" ref="CZ12:CZ40" si="52">CX12+BH12</f>
        <v>0.8860817918992413</v>
      </c>
      <c r="DA12" s="65">
        <f t="shared" ref="DA12:DA40" si="53">CZ12+BC12+BG12+BK12</f>
        <v>0.8860817918992413</v>
      </c>
      <c r="DB12" s="64">
        <f t="shared" ref="DB12:DB40" si="54">CZ12+BL12</f>
        <v>0.8860817918992413</v>
      </c>
      <c r="DC12" s="65">
        <f t="shared" ref="DC12:DC40" si="55">DB12+BC12+BG12+BK12+BO12</f>
        <v>0.8860817918992413</v>
      </c>
      <c r="DD12" s="64">
        <f t="shared" ref="DD12:DD40" si="56">DB12+BP12</f>
        <v>0.8860817918992413</v>
      </c>
      <c r="DE12" s="65">
        <f t="shared" ref="DE12:DE40" si="57">DD12+BC12+BG12+BK12+BO12+BS12</f>
        <v>0.8860817918992413</v>
      </c>
      <c r="DF12" s="64">
        <f t="shared" ref="DF12:DF40" si="58">DD12+BT12</f>
        <v>0.8860817918992413</v>
      </c>
      <c r="DG12" s="65">
        <f t="shared" ref="DG12:DG40" si="59">DF12+BC12+BG12+BK12+BO12+BS12+BW12</f>
        <v>0.8860817918992413</v>
      </c>
      <c r="DL12">
        <v>2022</v>
      </c>
      <c r="DM12" s="64">
        <f t="shared" ref="DM12:DM40" si="60">DG12</f>
        <v>0.8860817918992413</v>
      </c>
      <c r="DN12" s="64">
        <f t="shared" ref="DN12:DN40" si="61">DE12</f>
        <v>0.8860817918992413</v>
      </c>
      <c r="DO12" s="64">
        <f t="shared" ref="DO12:DO40" si="62">DC12</f>
        <v>0.8860817918992413</v>
      </c>
      <c r="DP12" s="64">
        <f t="shared" ref="DP12:DP40" si="63">DA12</f>
        <v>0.8860817918992413</v>
      </c>
      <c r="DQ12" s="64">
        <f t="shared" ref="DQ12:DQ40" si="64">CY12</f>
        <v>0.8860817918992413</v>
      </c>
      <c r="DR12" s="64">
        <f t="shared" ref="DR12:DR40" si="65">CW12</f>
        <v>0.8860817918992413</v>
      </c>
      <c r="DS12" s="64">
        <f t="shared" si="26"/>
        <v>0.8860817918992413</v>
      </c>
      <c r="DT12" s="64">
        <f t="shared" si="27"/>
        <v>0.89606296836982957</v>
      </c>
      <c r="DU12" s="64">
        <f t="shared" si="28"/>
        <v>0.92876369829683691</v>
      </c>
      <c r="DV12" s="64">
        <f t="shared" si="29"/>
        <v>0.93572233576642327</v>
      </c>
      <c r="DW12" s="64">
        <f t="shared" si="30"/>
        <v>0.93907999999999991</v>
      </c>
      <c r="DX12" s="64">
        <f t="shared" si="31"/>
        <v>0.94807999999999992</v>
      </c>
      <c r="DY12" s="64">
        <f t="shared" si="32"/>
        <v>0.94807999999999992</v>
      </c>
      <c r="DZ12" s="64">
        <f t="shared" si="33"/>
        <v>0.94807999999999992</v>
      </c>
      <c r="EA12" s="3">
        <f t="shared" ref="EA12:EA40" si="66">1+$A$3</f>
        <v>0.95</v>
      </c>
      <c r="EB12">
        <v>2022</v>
      </c>
      <c r="EC12" s="269">
        <f t="shared" ref="EC12:EC40" si="67">1-SUM(ED12:ER12)</f>
        <v>0.8860817918992413</v>
      </c>
      <c r="ED12" s="269">
        <f t="shared" ref="ED12:ED40" si="68">-$A$3</f>
        <v>0.05</v>
      </c>
      <c r="EE12" s="64">
        <f t="shared" si="34"/>
        <v>0</v>
      </c>
      <c r="EF12" s="64">
        <f t="shared" si="34"/>
        <v>0</v>
      </c>
      <c r="EG12" s="64">
        <f t="shared" si="34"/>
        <v>0</v>
      </c>
      <c r="EH12" s="64">
        <f t="shared" si="34"/>
        <v>0</v>
      </c>
      <c r="EI12" s="64">
        <f t="shared" si="34"/>
        <v>0</v>
      </c>
      <c r="EJ12" s="64">
        <f t="shared" si="34"/>
        <v>0</v>
      </c>
      <c r="EK12" s="64">
        <f t="shared" si="34"/>
        <v>9.9811764705882711E-3</v>
      </c>
      <c r="EL12" s="64">
        <f t="shared" si="34"/>
        <v>3.2700729927007344E-2</v>
      </c>
      <c r="EM12" s="64">
        <f t="shared" si="34"/>
        <v>6.9586374695863595E-3</v>
      </c>
      <c r="EN12" s="64">
        <f t="shared" si="34"/>
        <v>3.3576642335766405E-3</v>
      </c>
      <c r="EO12" s="64">
        <f t="shared" si="34"/>
        <v>9.000000000000008E-3</v>
      </c>
      <c r="EP12" s="64">
        <f t="shared" si="34"/>
        <v>0</v>
      </c>
      <c r="EQ12" s="64">
        <f t="shared" si="34"/>
        <v>0</v>
      </c>
      <c r="ER12" s="64">
        <f t="shared" si="34"/>
        <v>1.9200000000000328E-3</v>
      </c>
      <c r="EX12" s="89">
        <v>2022</v>
      </c>
      <c r="EY12" s="278">
        <f t="shared" ref="EY12:EY40" si="69">EY$7+$A$3+((EX12-2020)*($A$6/30))</f>
        <v>0.95666666666666667</v>
      </c>
      <c r="EZ12" s="278"/>
      <c r="FA12" s="278">
        <f t="shared" ref="FA12:FA40" si="70">1-SUM(FC12:FK12)+(EY12-1)</f>
        <v>0.89232233717856968</v>
      </c>
      <c r="FB12" s="278">
        <f t="shared" si="35"/>
        <v>0.05</v>
      </c>
      <c r="FC12" s="64">
        <f t="shared" ref="FC12:FC40" si="71">-($BC12+$BG12+$BK12+$BO12+$BS12+$BW12)*(1+$EY12-$EY$10)</f>
        <v>0</v>
      </c>
      <c r="FD12" s="64">
        <f t="shared" ref="FD12:FD40" si="72">-($AY12+$AZ12+$BD12+$BH12+$BL12+$BP12+$BT12)*(1+$EY12-$EY$10)</f>
        <v>1.0047717647058819E-2</v>
      </c>
      <c r="FE12" s="64">
        <f t="shared" ref="FE12:FE40" si="73">$EL12*(1+$EY12-$EY$10)</f>
        <v>3.2918734793187389E-2</v>
      </c>
      <c r="FF12" s="64">
        <f t="shared" ref="FF12:FF40" si="74">$EM12*(1+$EY12-$EY$10)</f>
        <v>7.0050283860502681E-3</v>
      </c>
      <c r="FG12" s="64">
        <f t="shared" ref="FG12:FG40" si="75">$EN12*(1+$EY12-$EY$10)</f>
        <v>3.3800486618004843E-3</v>
      </c>
      <c r="FH12" s="64">
        <f t="shared" ref="FH12:FH40" si="76">$EO12*(1+$EY12-$EY$10)</f>
        <v>9.0600000000000073E-3</v>
      </c>
      <c r="FI12" s="64">
        <f t="shared" ref="FI12:FI40" si="77">$EP12*(1+$EY12-$EY$10)</f>
        <v>0</v>
      </c>
      <c r="FJ12" s="64">
        <f t="shared" ref="FJ12:FJ40" si="78">$EQ12*(1+$EY12-$EY$10)</f>
        <v>0</v>
      </c>
      <c r="FK12" s="280">
        <f t="shared" ref="FK12:FK40" si="79">$ER12*(1+$EY12-$EY$10)</f>
        <v>1.9328000000000329E-3</v>
      </c>
      <c r="FL12" s="64"/>
      <c r="FM12" s="89">
        <v>2022</v>
      </c>
      <c r="FN12" s="278">
        <f t="shared" ref="FN12:FN40" si="80">FN$7+$A$3+((FM12-2020)*($A$6/30))</f>
        <v>0.95666666666666667</v>
      </c>
      <c r="FP12" s="278">
        <f t="shared" ref="FP12:FP40" si="81">1-SUM(FR12:FZ12)+(FN12-1)</f>
        <v>0.89232233717856968</v>
      </c>
      <c r="FQ12" s="278">
        <f t="shared" ref="FQ12:FQ40" si="82">-$A$3</f>
        <v>0.05</v>
      </c>
      <c r="FR12" s="64">
        <f t="shared" ref="FR12:FR40" si="83">-($BC12+$BG12+$BK12+$BO12+$BS12)*(1+$EY12-$EY$10)</f>
        <v>0</v>
      </c>
      <c r="FS12" s="64">
        <f t="shared" ref="FS12:FS40" si="84">-($AY12+$AZ12+$BD12+$BH12+$BL12+$BP12)*(1+$EY12-$EY$10)</f>
        <v>1.0047717647058819E-2</v>
      </c>
      <c r="FT12" s="64">
        <f t="shared" ref="FT12:FT40" si="85">$EL12*(1+$EY12-$EY$10)</f>
        <v>3.2918734793187389E-2</v>
      </c>
      <c r="FU12" s="64">
        <f t="shared" ref="FU12:FU40" si="86">$EM12*(1+$EY12-$EY$10)</f>
        <v>7.0050283860502681E-3</v>
      </c>
      <c r="FV12" s="64">
        <f t="shared" ref="FV12:FV40" si="87">$EN12*(1+$EY12-$EY$10)</f>
        <v>3.3800486618004843E-3</v>
      </c>
      <c r="FW12" s="64">
        <f t="shared" ref="FW12:FW40" si="88">$EO12*(1+$EY12-$EY$10)</f>
        <v>9.0600000000000073E-3</v>
      </c>
      <c r="FX12" s="64">
        <f t="shared" ref="FX12:FX40" si="89">$EP12*(1+$EY12-$EY$10)</f>
        <v>0</v>
      </c>
      <c r="FY12" s="64">
        <f t="shared" ref="FY12:FY40" si="90">$EQ12*(1+$EY12-$EY$10)</f>
        <v>0</v>
      </c>
      <c r="FZ12" s="280">
        <f t="shared" ref="FZ12:FZ40" si="91">$ER12*(1+$EY12-$EY$10)</f>
        <v>1.9328000000000329E-3</v>
      </c>
      <c r="GA12" s="64"/>
      <c r="GB12" s="89">
        <v>2022</v>
      </c>
      <c r="GC12" s="278">
        <f t="shared" ref="GC12:GC40" si="92">GC$7+$A$3+((GB12-2020)*($A$6/30))</f>
        <v>0.95666666666666667</v>
      </c>
      <c r="GE12" s="278">
        <f t="shared" ref="GE12:GE40" si="93">1-SUM(GG12:GO12)+(GC12-1)</f>
        <v>0.89232233717856968</v>
      </c>
      <c r="GF12" s="278">
        <f t="shared" ref="GF12:GF40" si="94">-$A$3</f>
        <v>0.05</v>
      </c>
      <c r="GG12" s="64">
        <f t="shared" ref="GG12:GG40" si="95">-($BC12+$BG12+$BK12+$BO12)*(1+$EY12-$EY$10)</f>
        <v>0</v>
      </c>
      <c r="GH12" s="64">
        <f t="shared" ref="GH12:GH40" si="96">-($AY12+$AZ12+$BD12+$BH12+$BL12)*(1+$EY12-$EY$10)</f>
        <v>1.0047717647058819E-2</v>
      </c>
      <c r="GI12" s="64">
        <f t="shared" ref="GI12:GI40" si="97">$EL12*(1+$EY12-$EY$10)</f>
        <v>3.2918734793187389E-2</v>
      </c>
      <c r="GJ12" s="64">
        <f t="shared" ref="GJ12:GJ40" si="98">$EM12*(1+$EY12-$EY$10)</f>
        <v>7.0050283860502681E-3</v>
      </c>
      <c r="GK12" s="64">
        <f t="shared" ref="GK12:GK40" si="99">$EN12*(1+$EY12-$EY$10)</f>
        <v>3.3800486618004843E-3</v>
      </c>
      <c r="GL12" s="64">
        <f t="shared" ref="GL12:GL40" si="100">$EO12*(1+$EY12-$EY$10)</f>
        <v>9.0600000000000073E-3</v>
      </c>
      <c r="GM12" s="64">
        <f t="shared" ref="GM12:GM40" si="101">$EP12*(1+$EY12-$EY$10)</f>
        <v>0</v>
      </c>
      <c r="GN12" s="64">
        <f t="shared" ref="GN12:GN40" si="102">$EQ12*(1+$EY12-$EY$10)</f>
        <v>0</v>
      </c>
      <c r="GO12" s="280">
        <f t="shared" ref="GO12:GO40" si="103">$ER12*(1+$EY12-$EY$10)</f>
        <v>1.9328000000000329E-3</v>
      </c>
      <c r="GP12" s="64"/>
      <c r="GQ12" s="89">
        <v>2022</v>
      </c>
      <c r="GR12" s="278">
        <f t="shared" ref="GR12:GR40" si="104">GR$7+$A$3+((GQ12-2020)*($A$6/30))</f>
        <v>0.95666666666666667</v>
      </c>
      <c r="GT12" s="278">
        <f t="shared" ref="GT12:GT40" si="105">1-SUM(GV12:HD12)+(GR12-1)</f>
        <v>0.89232233717856968</v>
      </c>
      <c r="GU12" s="278">
        <f t="shared" ref="GU12:GU40" si="106">-$A$3</f>
        <v>0.05</v>
      </c>
      <c r="GV12" s="64">
        <f t="shared" ref="GV12:GV40" si="107">-($BC12+$BG12+$BK12)*(1+$EY12-$EY$10)</f>
        <v>0</v>
      </c>
      <c r="GW12" s="64">
        <f t="shared" ref="GW12:GW40" si="108">-($AY12+$AZ12+$BD12+$BH12)*(1+$EY12-$EY$10)</f>
        <v>1.0047717647058819E-2</v>
      </c>
      <c r="GX12" s="64">
        <f t="shared" ref="GX12:GX40" si="109">$EL12*(1+$EY12-$EY$10)</f>
        <v>3.2918734793187389E-2</v>
      </c>
      <c r="GY12" s="64">
        <f t="shared" ref="GY12:GY40" si="110">$EM12*(1+$EY12-$EY$10)</f>
        <v>7.0050283860502681E-3</v>
      </c>
      <c r="GZ12" s="64">
        <f t="shared" ref="GZ12:GZ40" si="111">$EN12*(1+$EY12-$EY$10)</f>
        <v>3.3800486618004843E-3</v>
      </c>
      <c r="HA12" s="64">
        <f t="shared" ref="HA12:HA40" si="112">$EO12*(1+$EY12-$EY$10)</f>
        <v>9.0600000000000073E-3</v>
      </c>
      <c r="HB12" s="64">
        <f t="shared" ref="HB12:HB40" si="113">$EP12*(1+$EY12-$EY$10)</f>
        <v>0</v>
      </c>
      <c r="HC12" s="64">
        <f t="shared" ref="HC12:HC40" si="114">$EQ12*(1+$EY12-$EY$10)</f>
        <v>0</v>
      </c>
      <c r="HD12" s="280">
        <f t="shared" ref="HD12:HD40" si="115">$ER12*(1+$EY12-$EY$10)</f>
        <v>1.9328000000000329E-3</v>
      </c>
      <c r="HE12" s="64"/>
      <c r="HF12" s="89">
        <v>2022</v>
      </c>
      <c r="HG12" s="278">
        <f t="shared" ref="HG12:HG40" si="116">HG$7+$A$3+((HF12-2020)*($A$6/30))</f>
        <v>0.95666666666666667</v>
      </c>
      <c r="HI12" s="278">
        <f t="shared" ref="HI12:HI40" si="117">1-SUM(HK12:HS12)+(HG12-1)</f>
        <v>0.89232233717856968</v>
      </c>
      <c r="HJ12" s="278">
        <f t="shared" ref="HJ12:HJ40" si="118">-$A$3</f>
        <v>0.05</v>
      </c>
      <c r="HK12" s="64">
        <f t="shared" ref="HK12:HK40" si="119">-($BC12+$BG12)*(1+$EY12-$EY$10)</f>
        <v>0</v>
      </c>
      <c r="HL12" s="64">
        <f t="shared" ref="HL12:HL40" si="120">-($AY12+$AZ12+$BD12)*(1+$EY12-$EY$10)</f>
        <v>1.0047717647058819E-2</v>
      </c>
      <c r="HM12" s="64">
        <f t="shared" ref="HM12:HM40" si="121">$EL12*(1+$EY12-$EY$10)</f>
        <v>3.2918734793187389E-2</v>
      </c>
      <c r="HN12" s="64">
        <f t="shared" ref="HN12:HN40" si="122">$EM12*(1+$EY12-$EY$10)</f>
        <v>7.0050283860502681E-3</v>
      </c>
      <c r="HO12" s="64">
        <f t="shared" ref="HO12:HO40" si="123">$EN12*(1+$EY12-$EY$10)</f>
        <v>3.3800486618004843E-3</v>
      </c>
      <c r="HP12" s="64">
        <f t="shared" ref="HP12:HP40" si="124">$EO12*(1+$EY12-$EY$10)</f>
        <v>9.0600000000000073E-3</v>
      </c>
      <c r="HQ12" s="64">
        <f t="shared" ref="HQ12:HQ40" si="125">$EP12*(1+$EY12-$EY$10)</f>
        <v>0</v>
      </c>
      <c r="HR12" s="64">
        <f t="shared" ref="HR12:HR40" si="126">$EQ12*(1+$EY12-$EY$10)</f>
        <v>0</v>
      </c>
      <c r="HS12" s="280">
        <f t="shared" ref="HS12:HS40" si="127">$ER12*(1+$EY12-$EY$10)</f>
        <v>1.9328000000000329E-3</v>
      </c>
      <c r="HT12" s="64"/>
      <c r="HU12" s="89">
        <v>2022</v>
      </c>
      <c r="HV12" s="278">
        <f t="shared" ref="HV12:HV40" si="128">HV$7+$A$3+((HU12-2020)*($A$6/30))</f>
        <v>0.95666666666666667</v>
      </c>
      <c r="HX12" s="278">
        <f t="shared" ref="HX12:HX40" si="129">1-SUM(HZ12:IH12)+(HV12-1)</f>
        <v>0.89232233717856968</v>
      </c>
      <c r="HY12" s="278">
        <f t="shared" ref="HY12:HY40" si="130">-$A$3</f>
        <v>0.05</v>
      </c>
      <c r="HZ12" s="64">
        <f t="shared" ref="HZ12:HZ40" si="131">-($BC12)*(1+$EY12-$EY$10)</f>
        <v>0</v>
      </c>
      <c r="IA12" s="64">
        <f t="shared" ref="IA12:IA40" si="132">-($AY12+$AZ12)*(1+$EY12-$EY$10)</f>
        <v>1.0047717647058819E-2</v>
      </c>
      <c r="IB12" s="64">
        <f t="shared" ref="IB12:IB40" si="133">$EL12*(1+$EY12-$EY$10)</f>
        <v>3.2918734793187389E-2</v>
      </c>
      <c r="IC12" s="64">
        <f t="shared" ref="IC12:IC40" si="134">$EM12*(1+$EY12-$EY$10)</f>
        <v>7.0050283860502681E-3</v>
      </c>
      <c r="ID12" s="64">
        <f t="shared" ref="ID12:ID40" si="135">$EN12*(1+$EY12-$EY$10)</f>
        <v>3.3800486618004843E-3</v>
      </c>
      <c r="IE12" s="64">
        <f t="shared" ref="IE12:IE40" si="136">$EO12*(1+$EY12-$EY$10)</f>
        <v>9.0600000000000073E-3</v>
      </c>
      <c r="IF12" s="64">
        <f t="shared" ref="IF12:IF40" si="137">$EP12*(1+$EY12-$EY$10)</f>
        <v>0</v>
      </c>
      <c r="IG12" s="64">
        <f t="shared" ref="IG12:IG40" si="138">$EQ12*(1+$EY12-$EY$10)</f>
        <v>0</v>
      </c>
      <c r="IH12" s="280">
        <f t="shared" ref="IH12:IH40" si="139">$ER12*(1+$EY12-$EY$10)</f>
        <v>1.9328000000000329E-3</v>
      </c>
      <c r="II12" s="64"/>
      <c r="IJ12" s="89">
        <v>2022</v>
      </c>
      <c r="IK12" s="278">
        <f t="shared" ref="IK12:IK40" si="140">IK$7+$A$3+((IJ12-2020)*($A$6/30))</f>
        <v>0.95666666666666667</v>
      </c>
      <c r="IM12" s="278">
        <f t="shared" ref="IM12:IM40" si="141">1-SUM(IO12:IW12)+(IK12-1)</f>
        <v>0.89232233717856968</v>
      </c>
      <c r="IN12" s="278">
        <f t="shared" ref="IN12:IN40" si="142">-$A$3</f>
        <v>0.05</v>
      </c>
      <c r="IO12" s="64">
        <v>0</v>
      </c>
      <c r="IP12" s="64">
        <f t="shared" ref="IP12:IP40" si="143">-$AY12*(1+$EY12-$EY$10)</f>
        <v>1.0047717647058819E-2</v>
      </c>
      <c r="IQ12" s="64">
        <f t="shared" ref="IQ12:IQ40" si="144">$EL12*(1+$EY12-$EY$10)</f>
        <v>3.2918734793187389E-2</v>
      </c>
      <c r="IR12" s="64">
        <f t="shared" ref="IR12:IR40" si="145">$EM12*(1+$EY12-$EY$10)</f>
        <v>7.0050283860502681E-3</v>
      </c>
      <c r="IS12" s="64">
        <f t="shared" ref="IS12:IS40" si="146">$EN12*(1+$EY12-$EY$10)</f>
        <v>3.3800486618004843E-3</v>
      </c>
      <c r="IT12" s="64">
        <f t="shared" ref="IT12:IT40" si="147">$EO12*(1+$EY12-$EY$10)</f>
        <v>9.0600000000000073E-3</v>
      </c>
      <c r="IU12" s="64">
        <f t="shared" ref="IU12:IU40" si="148">$EP12*(1+$EY12-$EY$10)</f>
        <v>0</v>
      </c>
      <c r="IV12" s="64">
        <f t="shared" ref="IV12:IV40" si="149">$EQ12*(1+$EY12-$EY$10)</f>
        <v>0</v>
      </c>
      <c r="IW12" s="280">
        <f t="shared" ref="IW12:IW40" si="150">$ER12*(1+$EY12-$EY$10)</f>
        <v>1.9328000000000329E-3</v>
      </c>
      <c r="IX12" s="3">
        <f t="shared" ref="IX12:IX40" si="151">JE12-JE11</f>
        <v>0.84999999999999987</v>
      </c>
      <c r="IY12">
        <f t="shared" si="36"/>
        <v>2022</v>
      </c>
      <c r="IZ12" s="3">
        <f t="shared" ref="IZ12:IZ39" si="152">IM12+IZ11</f>
        <v>2.7635900361146892</v>
      </c>
      <c r="JA12" s="353">
        <f>HLOOKUP($JG$3,'Timing calculations'!JH$8:JT$39,5,FALSE)</f>
        <v>2.9090421432786204</v>
      </c>
      <c r="JB12" s="3">
        <f t="shared" ref="JB12:JB40" si="153">JB11+IK12</f>
        <v>2.86</v>
      </c>
      <c r="JC12" s="353">
        <f t="shared" ref="JC12:JC39" si="154">JB12/JE$10</f>
        <v>3.0105263157894737</v>
      </c>
      <c r="JD12" s="418">
        <f t="shared" si="37"/>
        <v>0.84999999999999987</v>
      </c>
      <c r="JE12" s="368">
        <f t="shared" ref="JE12:JE39" si="155">JD12+JE11</f>
        <v>2.6999999999999997</v>
      </c>
      <c r="JF12" s="369">
        <f t="shared" ref="JF12:JF39" si="156">JE12/JE$10</f>
        <v>2.8421052631578947</v>
      </c>
      <c r="JG12" s="363">
        <f t="shared" ref="JG12:JG39" si="157">FA12+JG11</f>
        <v>2.7635900361146892</v>
      </c>
      <c r="JH12" s="362">
        <f t="shared" si="38"/>
        <v>2.9090421432786204</v>
      </c>
      <c r="JI12" s="366">
        <f t="shared" si="39"/>
        <v>2.7635900361146892</v>
      </c>
      <c r="JJ12" s="367">
        <f t="shared" si="9"/>
        <v>2.9090421432786204</v>
      </c>
      <c r="JK12" s="363">
        <f t="shared" si="40"/>
        <v>2.7635900361146892</v>
      </c>
      <c r="JL12" s="362">
        <f t="shared" si="41"/>
        <v>2.9090421432786204</v>
      </c>
      <c r="JM12" s="366">
        <f t="shared" ref="JM12:JM39" si="158">GT12+JM11</f>
        <v>2.7635900361146892</v>
      </c>
      <c r="JN12" s="367">
        <f t="shared" si="42"/>
        <v>2.9090421432786204</v>
      </c>
      <c r="JO12" s="363">
        <f t="shared" ref="JO12:JO39" si="159">HI12+JO11</f>
        <v>2.7635900361146892</v>
      </c>
      <c r="JP12" s="362">
        <f t="shared" si="43"/>
        <v>2.9090421432786204</v>
      </c>
      <c r="JQ12" s="366">
        <f t="shared" ref="JQ12:JQ39" si="160">HX12+JQ11</f>
        <v>2.7635900361146892</v>
      </c>
      <c r="JR12" s="367">
        <f t="shared" si="44"/>
        <v>2.9090421432786204</v>
      </c>
      <c r="JS12" s="363">
        <f t="shared" ref="JS12:JS39" si="161">IM12+JS11</f>
        <v>2.7635900361146892</v>
      </c>
      <c r="JT12" s="362">
        <f t="shared" si="45"/>
        <v>2.9090421432786204</v>
      </c>
    </row>
    <row r="13" spans="1:280">
      <c r="A13" s="259"/>
      <c r="B13" s="247"/>
      <c r="C13" s="247"/>
      <c r="D13" s="247"/>
      <c r="E13" s="247"/>
      <c r="F13" s="247"/>
      <c r="AJ13" s="238" t="s">
        <v>220</v>
      </c>
      <c r="AL13">
        <v>2</v>
      </c>
      <c r="AO13" s="89">
        <v>2023</v>
      </c>
      <c r="AP13" s="170">
        <f t="shared" ref="AP13:AS28" si="162">IF($AO13&gt;=AP$6,IF($AO13&lt;=AP$9,AP$4/(AP$9-AP$6+1)+AP12,AP$4),0)</f>
        <v>-2.8800000000000002E-3</v>
      </c>
      <c r="AQ13" s="170">
        <f t="shared" si="162"/>
        <v>-2.5000000000000006E-4</v>
      </c>
      <c r="AR13" s="170">
        <f t="shared" si="162"/>
        <v>0</v>
      </c>
      <c r="AS13" s="170">
        <f t="shared" si="162"/>
        <v>-1.3500000000000002E-2</v>
      </c>
      <c r="AU13" s="170">
        <f t="shared" ref="AU13:AW28" si="163">IF($AO13&gt;=AU$6,IF($AO13&lt;=AU$9,AU$4/(AU$9-AU$6+1)+AU12,AU$4),0)</f>
        <v>-5.0364963503649642E-3</v>
      </c>
      <c r="AV13" s="170">
        <f t="shared" si="163"/>
        <v>-1.0437956204379562E-2</v>
      </c>
      <c r="AW13" s="170">
        <f t="shared" si="163"/>
        <v>-4.9051094890510953E-2</v>
      </c>
      <c r="AY13" s="170">
        <f t="shared" ref="AY13:AY40" si="164">IF($AO13&gt;=AY$6,IF($AO13&lt;=AY$9,AY$4/(AY$9-AY$6+1)+AY12,AY$4),0)</f>
        <v>-1.4971764705882348E-2</v>
      </c>
      <c r="AZ13" s="278">
        <f t="shared" ref="AZ13:AZ40" si="165">IF($AO13&gt;=AZ$6,IF($AO13&lt;=AZ$9,(($AZ$4)/(AZ$9-AZ$6))+AZ12,AZ$4),0)</f>
        <v>4.9905882352941158E-4</v>
      </c>
      <c r="BA13" s="284">
        <f t="shared" ref="BA13:BA40" si="166">IF($AO13&gt;=BA$6,IF($AO13&lt;=BA$9,(BA$4-AB$5)/(BA$9-BA$6+1)+BA12,BA$4),0)</f>
        <v>-2.1728187965217367E-2</v>
      </c>
      <c r="BB13" s="276">
        <f t="shared" ref="BB13:BB40" si="167">IF($AO13&gt;=BB$6,IF($AO13&lt;=BB$9,BB$4/(BB$9-BB$6+1)+BB12,BB$4),0)</f>
        <v>-2.1552638840579698E-3</v>
      </c>
      <c r="BC13" s="277">
        <f t="shared" si="10"/>
        <v>-1.207121553623187E-3</v>
      </c>
      <c r="BD13" s="278">
        <f t="shared" ref="BD13:BD40" si="168">IF($AO13&gt;=BD$6,IF($AO13&lt;=BD$9,(($BD$4)/(BD$9-BD$6))+BD12,BD$4),0)</f>
        <v>4.9905882352941158E-4</v>
      </c>
      <c r="BE13" s="284">
        <f t="shared" ref="BE13:BE40" si="169">IF($AO13&gt;=BE$6,IF($AO13&lt;=BE$9,(BE$4-AD$5)/(BE$9-BE$6+1)+BE12,BE$4),0)</f>
        <v>-2.1728187965217409E-2</v>
      </c>
      <c r="BF13" s="276">
        <f t="shared" ref="BF13:BF40" si="170">IF($AO13&gt;=BF$6,IF($AO13&lt;=BF$9,BF$4/(BF$9-BF$6+1)+BF12,BF$4),0)</f>
        <v>-2.1552638840579698E-3</v>
      </c>
      <c r="BG13" s="277">
        <f t="shared" si="11"/>
        <v>-1.2071215536231894E-3</v>
      </c>
      <c r="BH13" s="278">
        <f t="shared" ref="BH13:BH40" si="171">IF($AO13&gt;=BH$6,IF($AO13&lt;=BH$9,(($BH$4)/(BH$9-BH$6+1))+BH12,BH$4),0)</f>
        <v>9.4266666666666631E-4</v>
      </c>
      <c r="BI13" s="284">
        <f t="shared" ref="BI13:BI40" si="172">IF($AO13&gt;=BI$6,IF($AO13&lt;=BI$9,(BI$4-AF$5)/(BI$9-BI$6+1)+BI12,BI$4),0)</f>
        <v>-4.3456375930434804E-2</v>
      </c>
      <c r="BJ13" s="276">
        <f t="shared" ref="BJ13:BJ40" si="173">IF($AO13&gt;=BJ$6,IF($AO13&lt;=BJ$9,BJ$4/(BJ$9-BJ$6+1)+BJ12,BJ$4),0)</f>
        <v>-4.3105277681159456E-3</v>
      </c>
      <c r="BK13" s="277">
        <f t="shared" si="12"/>
        <v>-2.414243107246378E-3</v>
      </c>
      <c r="BL13" s="278">
        <f t="shared" ref="BL13:BL40" si="174">IF($AO13&gt;=BL$6,IF($AO13&lt;=BL$9,(($BL$4)/(BL$9-BL$6+1))+BL12,BL$4),0)</f>
        <v>9.4266666666666631E-4</v>
      </c>
      <c r="BM13" s="284">
        <f t="shared" ref="BM13:BM40" si="175">IF($AO13&gt;=BM$6,IF($AO13&lt;=BM$9,(BM$4-AH$5)/(BM$9-BM$6+1)+BM12,BM$4),0)</f>
        <v>-4.3456375930434762E-2</v>
      </c>
      <c r="BN13" s="276">
        <f t="shared" ref="BN13:BN40" si="176">IF($AO13&gt;=BN$6,IF($AO13&lt;=BN$9,BN$4/(BN$9-BN$6+1)+BN12,BN$4),0)</f>
        <v>-4.3105277681159378E-3</v>
      </c>
      <c r="BO13" s="277">
        <f t="shared" si="13"/>
        <v>-2.4142431072463754E-3</v>
      </c>
      <c r="BP13" s="278">
        <f t="shared" ref="BP13:BP40" si="177">IF($AO13&gt;=BP$6,IF($AO13&lt;=BP$9,(($BP$4)/(BP$9-BP$6+1))+BP12,BP$4),0)</f>
        <v>9.4266666666666631E-4</v>
      </c>
      <c r="BQ13" s="284">
        <f t="shared" ref="BQ13:BQ40" si="178">IF($AO13&gt;=BQ$6,IF($AO13&lt;=BQ$9,(BQ$4-AJ$5)/(BQ$9-BQ$6+1)+BQ12,BQ$4),0)</f>
        <v>-4.3456375930434818E-2</v>
      </c>
      <c r="BR13" s="276">
        <f t="shared" ref="BR13:BR40" si="179">IF($AO13&gt;=BR$6,IF($AO13&lt;=BR$9,BR$4/(BR$9-BR$6+1)+BR12,BR$4),0)</f>
        <v>-4.3105277681159439E-3</v>
      </c>
      <c r="BS13" s="277">
        <f t="shared" si="14"/>
        <v>-2.4142431072463784E-3</v>
      </c>
      <c r="BT13" s="278">
        <f t="shared" ref="BT13:BT40" si="180">IF($AO13&gt;=BT$6,IF($AO13&lt;=BT$9,(($BT$4)/(BT$9-BT$6+1))+BT12,BT$4),0)</f>
        <v>9.4266666666666631E-4</v>
      </c>
      <c r="BU13" s="284">
        <f t="shared" ref="BU13:BU40" si="181">IF($AO13&gt;=BU$6,IF($AO13&lt;=BU$9,(BU$4-AL$5)/(BU$9-BU$6+1)+BU12,BU$4),0)</f>
        <v>-4.3456375930434762E-2</v>
      </c>
      <c r="BV13" s="276">
        <f t="shared" ref="BV13:BV40" si="182">IF($AO13&gt;=BV$6,IF($AO13&lt;=BV$9,BV$4/(BV$9-BV$6+1)+BV12,BV$4),0)</f>
        <v>-4.3105277681159413E-3</v>
      </c>
      <c r="BW13" s="278">
        <f t="shared" si="15"/>
        <v>-2.4142431072463758E-3</v>
      </c>
      <c r="BX13" s="391">
        <f t="shared" si="46"/>
        <v>-1.1145647058823526E-2</v>
      </c>
      <c r="BY13" s="392">
        <f t="shared" si="47"/>
        <v>-9.6569724289855084E-3</v>
      </c>
      <c r="BZ13" s="278"/>
      <c r="CB13" s="279">
        <f t="shared" si="16"/>
        <v>-9.6127312151137831E-2</v>
      </c>
      <c r="CC13" s="64">
        <f t="shared" si="17"/>
        <v>-9.6835374881231603E-2</v>
      </c>
      <c r="CD13" s="64">
        <f t="shared" si="18"/>
        <v>-9.754343761132539E-2</v>
      </c>
      <c r="CE13" s="64">
        <f t="shared" si="19"/>
        <v>-9.9015014051905104E-2</v>
      </c>
      <c r="CF13" s="64">
        <f t="shared" si="20"/>
        <v>-0.10048659049248482</v>
      </c>
      <c r="CG13" s="64">
        <f t="shared" si="21"/>
        <v>-0.10195816693306453</v>
      </c>
      <c r="CH13" s="64">
        <f t="shared" si="22"/>
        <v>-0.10342974337364425</v>
      </c>
      <c r="CI13">
        <v>2023</v>
      </c>
      <c r="CJ13" s="240"/>
      <c r="CL13">
        <v>2023</v>
      </c>
      <c r="CM13" s="3">
        <f t="shared" si="48"/>
        <v>0.95</v>
      </c>
      <c r="CN13" s="64">
        <f t="shared" si="23"/>
        <v>0.94711999999999996</v>
      </c>
      <c r="CO13" s="64">
        <f t="shared" si="23"/>
        <v>0.94686999999999999</v>
      </c>
      <c r="CP13" s="64">
        <f t="shared" si="23"/>
        <v>0.94686999999999999</v>
      </c>
      <c r="CQ13" s="64">
        <f t="shared" si="23"/>
        <v>0.93337000000000003</v>
      </c>
      <c r="CR13" s="64">
        <f t="shared" si="24"/>
        <v>0.92833350364963507</v>
      </c>
      <c r="CS13" s="64">
        <f t="shared" si="24"/>
        <v>0.91789554744525548</v>
      </c>
      <c r="CT13" s="64">
        <f t="shared" si="24"/>
        <v>0.86884445255474452</v>
      </c>
      <c r="CU13" s="64">
        <f t="shared" si="25"/>
        <v>0.85387268784886217</v>
      </c>
      <c r="CV13" s="64">
        <f t="shared" si="25"/>
        <v>0.85437174667239157</v>
      </c>
      <c r="CW13" s="65">
        <f t="shared" si="49"/>
        <v>0.85316462511876834</v>
      </c>
      <c r="CX13" s="64">
        <f t="shared" si="50"/>
        <v>0.85487080549592098</v>
      </c>
      <c r="CY13" s="65">
        <f t="shared" si="51"/>
        <v>0.85245656238867451</v>
      </c>
      <c r="CZ13" s="64">
        <f t="shared" si="52"/>
        <v>0.85581347216258763</v>
      </c>
      <c r="DA13" s="65">
        <f t="shared" si="53"/>
        <v>0.8509849859480948</v>
      </c>
      <c r="DB13" s="64">
        <f t="shared" si="54"/>
        <v>0.85675613882925428</v>
      </c>
      <c r="DC13" s="65">
        <f t="shared" si="55"/>
        <v>0.84951340950751508</v>
      </c>
      <c r="DD13" s="64">
        <f t="shared" si="56"/>
        <v>0.85769880549592092</v>
      </c>
      <c r="DE13" s="65">
        <f t="shared" si="57"/>
        <v>0.84804183306693537</v>
      </c>
      <c r="DF13" s="64">
        <f t="shared" si="58"/>
        <v>0.85864147216258757</v>
      </c>
      <c r="DG13" s="65">
        <f t="shared" si="59"/>
        <v>0.84657025662635565</v>
      </c>
      <c r="DL13">
        <v>2023</v>
      </c>
      <c r="DM13" s="64">
        <f t="shared" si="60"/>
        <v>0.84657025662635565</v>
      </c>
      <c r="DN13" s="64">
        <f t="shared" si="61"/>
        <v>0.84804183306693537</v>
      </c>
      <c r="DO13" s="64">
        <f t="shared" si="62"/>
        <v>0.84951340950751508</v>
      </c>
      <c r="DP13" s="64">
        <f t="shared" si="63"/>
        <v>0.8509849859480948</v>
      </c>
      <c r="DQ13" s="64">
        <f t="shared" si="64"/>
        <v>0.85245656238867451</v>
      </c>
      <c r="DR13" s="64">
        <f t="shared" si="65"/>
        <v>0.85316462511876834</v>
      </c>
      <c r="DS13" s="64">
        <f t="shared" si="26"/>
        <v>0.85387268784886217</v>
      </c>
      <c r="DT13" s="64">
        <f t="shared" si="27"/>
        <v>0.86884445255474452</v>
      </c>
      <c r="DU13" s="64">
        <f t="shared" si="28"/>
        <v>0.91789554744525548</v>
      </c>
      <c r="DV13" s="64">
        <f t="shared" si="29"/>
        <v>0.92833350364963507</v>
      </c>
      <c r="DW13" s="64">
        <f t="shared" si="30"/>
        <v>0.93337000000000003</v>
      </c>
      <c r="DX13" s="64">
        <f t="shared" si="31"/>
        <v>0.94686999999999999</v>
      </c>
      <c r="DY13" s="64">
        <f t="shared" si="32"/>
        <v>0.94686999999999999</v>
      </c>
      <c r="DZ13" s="64">
        <f t="shared" si="33"/>
        <v>0.94711999999999996</v>
      </c>
      <c r="EA13" s="3">
        <f t="shared" si="66"/>
        <v>0.95</v>
      </c>
      <c r="EB13">
        <v>2023</v>
      </c>
      <c r="EC13" s="269">
        <f t="shared" si="67"/>
        <v>0.84657025662635577</v>
      </c>
      <c r="ED13" s="269">
        <f t="shared" si="68"/>
        <v>0.05</v>
      </c>
      <c r="EE13" s="64">
        <f t="shared" si="34"/>
        <v>1.4715764405797138E-3</v>
      </c>
      <c r="EF13" s="64">
        <f t="shared" si="34"/>
        <v>1.4715764405797138E-3</v>
      </c>
      <c r="EG13" s="64">
        <f t="shared" si="34"/>
        <v>1.4715764405797138E-3</v>
      </c>
      <c r="EH13" s="64">
        <f t="shared" si="34"/>
        <v>1.4715764405797138E-3</v>
      </c>
      <c r="EI13" s="64">
        <f t="shared" si="34"/>
        <v>7.0806273009382803E-4</v>
      </c>
      <c r="EJ13" s="64">
        <f t="shared" si="34"/>
        <v>7.0806273009382803E-4</v>
      </c>
      <c r="EK13" s="64">
        <f t="shared" si="34"/>
        <v>1.4971764705882351E-2</v>
      </c>
      <c r="EL13" s="64">
        <f t="shared" si="34"/>
        <v>4.905109489051096E-2</v>
      </c>
      <c r="EM13" s="64">
        <f t="shared" si="34"/>
        <v>1.0437956204379595E-2</v>
      </c>
      <c r="EN13" s="64">
        <f t="shared" si="34"/>
        <v>5.0364963503649607E-3</v>
      </c>
      <c r="EO13" s="64">
        <f t="shared" si="34"/>
        <v>1.3499999999999956E-2</v>
      </c>
      <c r="EP13" s="64">
        <f t="shared" si="34"/>
        <v>0</v>
      </c>
      <c r="EQ13" s="64">
        <f t="shared" si="34"/>
        <v>2.4999999999997247E-4</v>
      </c>
      <c r="ER13" s="64">
        <f t="shared" si="34"/>
        <v>2.8799999999999937E-3</v>
      </c>
      <c r="EX13" s="89">
        <v>2023</v>
      </c>
      <c r="EY13" s="278">
        <f t="shared" si="69"/>
        <v>0.96</v>
      </c>
      <c r="EZ13" s="278"/>
      <c r="FA13" s="278">
        <f t="shared" si="70"/>
        <v>0.85553595919261938</v>
      </c>
      <c r="FB13" s="278">
        <f t="shared" si="35"/>
        <v>0.05</v>
      </c>
      <c r="FC13" s="64">
        <f t="shared" si="71"/>
        <v>1.2191927691594204E-2</v>
      </c>
      <c r="FD13" s="64">
        <f t="shared" si="72"/>
        <v>1.0305010196078428E-2</v>
      </c>
      <c r="FE13" s="64">
        <f t="shared" si="73"/>
        <v>4.9541605839416067E-2</v>
      </c>
      <c r="FF13" s="64">
        <f t="shared" si="74"/>
        <v>1.0542335766423392E-2</v>
      </c>
      <c r="FG13" s="64">
        <f t="shared" si="75"/>
        <v>5.0868613138686106E-3</v>
      </c>
      <c r="FH13" s="64">
        <f t="shared" si="76"/>
        <v>1.3634999999999956E-2</v>
      </c>
      <c r="FI13" s="64">
        <f t="shared" si="77"/>
        <v>0</v>
      </c>
      <c r="FJ13" s="64">
        <f t="shared" si="78"/>
        <v>2.524999999999722E-4</v>
      </c>
      <c r="FK13" s="280">
        <f t="shared" si="79"/>
        <v>2.9087999999999935E-3</v>
      </c>
      <c r="FL13" s="64"/>
      <c r="FM13" s="89">
        <v>2023</v>
      </c>
      <c r="FN13" s="278">
        <f t="shared" si="80"/>
        <v>0.96</v>
      </c>
      <c r="FP13" s="278">
        <f t="shared" si="81"/>
        <v>0.85702225139760491</v>
      </c>
      <c r="FQ13" s="278">
        <f t="shared" si="82"/>
        <v>0.05</v>
      </c>
      <c r="FR13" s="64">
        <f t="shared" si="83"/>
        <v>9.7535421532753633E-3</v>
      </c>
      <c r="FS13" s="64">
        <f t="shared" si="84"/>
        <v>1.1257103529411762E-2</v>
      </c>
      <c r="FT13" s="64">
        <f t="shared" si="85"/>
        <v>4.9541605839416067E-2</v>
      </c>
      <c r="FU13" s="64">
        <f t="shared" si="86"/>
        <v>1.0542335766423392E-2</v>
      </c>
      <c r="FV13" s="64">
        <f t="shared" si="87"/>
        <v>5.0868613138686106E-3</v>
      </c>
      <c r="FW13" s="64">
        <f t="shared" si="88"/>
        <v>1.3634999999999956E-2</v>
      </c>
      <c r="FX13" s="64">
        <f t="shared" si="89"/>
        <v>0</v>
      </c>
      <c r="FY13" s="64">
        <f t="shared" si="90"/>
        <v>2.524999999999722E-4</v>
      </c>
      <c r="FZ13" s="280">
        <f t="shared" si="91"/>
        <v>2.9087999999999935E-3</v>
      </c>
      <c r="GA13" s="64"/>
      <c r="GB13" s="89">
        <v>2023</v>
      </c>
      <c r="GC13" s="278">
        <f t="shared" si="92"/>
        <v>0.96</v>
      </c>
      <c r="GE13" s="278">
        <f t="shared" si="93"/>
        <v>0.85850854360259032</v>
      </c>
      <c r="GF13" s="278">
        <f t="shared" si="94"/>
        <v>0.05</v>
      </c>
      <c r="GG13" s="64">
        <f t="shared" si="95"/>
        <v>7.3151566149565212E-3</v>
      </c>
      <c r="GH13" s="64">
        <f t="shared" si="96"/>
        <v>1.2209196862745094E-2</v>
      </c>
      <c r="GI13" s="64">
        <f t="shared" si="97"/>
        <v>4.9541605839416067E-2</v>
      </c>
      <c r="GJ13" s="64">
        <f t="shared" si="98"/>
        <v>1.0542335766423392E-2</v>
      </c>
      <c r="GK13" s="64">
        <f t="shared" si="99"/>
        <v>5.0868613138686106E-3</v>
      </c>
      <c r="GL13" s="64">
        <f t="shared" si="100"/>
        <v>1.3634999999999956E-2</v>
      </c>
      <c r="GM13" s="64">
        <f t="shared" si="101"/>
        <v>0</v>
      </c>
      <c r="GN13" s="64">
        <f t="shared" si="102"/>
        <v>2.524999999999722E-4</v>
      </c>
      <c r="GO13" s="280">
        <f t="shared" si="103"/>
        <v>2.9087999999999935E-3</v>
      </c>
      <c r="GP13" s="64"/>
      <c r="GQ13" s="89">
        <v>2023</v>
      </c>
      <c r="GR13" s="278">
        <f t="shared" si="104"/>
        <v>0.96</v>
      </c>
      <c r="GT13" s="278">
        <f t="shared" si="105"/>
        <v>0.85999483580757585</v>
      </c>
      <c r="GU13" s="278">
        <f t="shared" si="106"/>
        <v>0.05</v>
      </c>
      <c r="GV13" s="64">
        <f t="shared" si="107"/>
        <v>4.8767710766376825E-3</v>
      </c>
      <c r="GW13" s="64">
        <f t="shared" si="108"/>
        <v>1.3161290196078427E-2</v>
      </c>
      <c r="GX13" s="64">
        <f t="shared" si="109"/>
        <v>4.9541605839416067E-2</v>
      </c>
      <c r="GY13" s="64">
        <f t="shared" si="110"/>
        <v>1.0542335766423392E-2</v>
      </c>
      <c r="GZ13" s="64">
        <f t="shared" si="111"/>
        <v>5.0868613138686106E-3</v>
      </c>
      <c r="HA13" s="64">
        <f t="shared" si="112"/>
        <v>1.3634999999999956E-2</v>
      </c>
      <c r="HB13" s="64">
        <f t="shared" si="113"/>
        <v>0</v>
      </c>
      <c r="HC13" s="64">
        <f t="shared" si="114"/>
        <v>2.524999999999722E-4</v>
      </c>
      <c r="HD13" s="280">
        <f t="shared" si="115"/>
        <v>2.9087999999999935E-3</v>
      </c>
      <c r="HE13" s="64"/>
      <c r="HF13" s="89">
        <v>2023</v>
      </c>
      <c r="HG13" s="278">
        <f t="shared" si="116"/>
        <v>0.96</v>
      </c>
      <c r="HI13" s="278">
        <f t="shared" si="117"/>
        <v>0.86148112801256138</v>
      </c>
      <c r="HJ13" s="278">
        <f t="shared" si="118"/>
        <v>0.05</v>
      </c>
      <c r="HK13" s="64">
        <f t="shared" si="119"/>
        <v>2.4383855383188404E-3</v>
      </c>
      <c r="HL13" s="64">
        <f t="shared" si="120"/>
        <v>1.4113383529411759E-2</v>
      </c>
      <c r="HM13" s="64">
        <f t="shared" si="121"/>
        <v>4.9541605839416067E-2</v>
      </c>
      <c r="HN13" s="64">
        <f t="shared" si="122"/>
        <v>1.0542335766423392E-2</v>
      </c>
      <c r="HO13" s="64">
        <f t="shared" si="123"/>
        <v>5.0868613138686106E-3</v>
      </c>
      <c r="HP13" s="64">
        <f t="shared" si="124"/>
        <v>1.3634999999999956E-2</v>
      </c>
      <c r="HQ13" s="64">
        <f t="shared" si="125"/>
        <v>0</v>
      </c>
      <c r="HR13" s="64">
        <f t="shared" si="126"/>
        <v>2.524999999999722E-4</v>
      </c>
      <c r="HS13" s="280">
        <f t="shared" si="127"/>
        <v>2.9087999999999935E-3</v>
      </c>
      <c r="HT13" s="64"/>
      <c r="HU13" s="89">
        <v>2023</v>
      </c>
      <c r="HV13" s="278">
        <f t="shared" si="128"/>
        <v>0.96</v>
      </c>
      <c r="HX13" s="278">
        <f t="shared" si="129"/>
        <v>0.86219627136995614</v>
      </c>
      <c r="HY13" s="278">
        <f t="shared" si="130"/>
        <v>0.05</v>
      </c>
      <c r="HZ13" s="64">
        <f t="shared" si="131"/>
        <v>1.2191927691594189E-3</v>
      </c>
      <c r="IA13" s="64">
        <f t="shared" si="132"/>
        <v>1.4617432941176466E-2</v>
      </c>
      <c r="IB13" s="64">
        <f t="shared" si="133"/>
        <v>4.9541605839416067E-2</v>
      </c>
      <c r="IC13" s="64">
        <f t="shared" si="134"/>
        <v>1.0542335766423392E-2</v>
      </c>
      <c r="ID13" s="64">
        <f t="shared" si="135"/>
        <v>5.0868613138686106E-3</v>
      </c>
      <c r="IE13" s="64">
        <f t="shared" si="136"/>
        <v>1.3634999999999956E-2</v>
      </c>
      <c r="IF13" s="64">
        <f t="shared" si="137"/>
        <v>0</v>
      </c>
      <c r="IG13" s="64">
        <f t="shared" si="138"/>
        <v>2.524999999999722E-4</v>
      </c>
      <c r="IH13" s="280">
        <f t="shared" si="139"/>
        <v>2.9087999999999935E-3</v>
      </c>
      <c r="II13" s="64"/>
      <c r="IJ13" s="89">
        <v>2023</v>
      </c>
      <c r="IK13" s="278">
        <f t="shared" si="140"/>
        <v>0.96</v>
      </c>
      <c r="IM13" s="278">
        <f t="shared" si="141"/>
        <v>0.86291141472735078</v>
      </c>
      <c r="IN13" s="278">
        <f t="shared" si="142"/>
        <v>0.05</v>
      </c>
      <c r="IO13" s="64">
        <v>0</v>
      </c>
      <c r="IP13" s="64">
        <f t="shared" si="143"/>
        <v>1.5121482352941171E-2</v>
      </c>
      <c r="IQ13" s="64">
        <f t="shared" si="144"/>
        <v>4.9541605839416067E-2</v>
      </c>
      <c r="IR13" s="64">
        <f t="shared" si="145"/>
        <v>1.0542335766423392E-2</v>
      </c>
      <c r="IS13" s="64">
        <f t="shared" si="146"/>
        <v>5.0868613138686106E-3</v>
      </c>
      <c r="IT13" s="64">
        <f t="shared" si="147"/>
        <v>1.3634999999999956E-2</v>
      </c>
      <c r="IU13" s="64">
        <f t="shared" si="148"/>
        <v>0</v>
      </c>
      <c r="IV13" s="64">
        <f t="shared" si="149"/>
        <v>2.524999999999722E-4</v>
      </c>
      <c r="IW13" s="280">
        <f t="shared" si="150"/>
        <v>2.9087999999999935E-3</v>
      </c>
      <c r="IX13" s="3">
        <f t="shared" si="151"/>
        <v>0.79999999999999982</v>
      </c>
      <c r="IY13">
        <f t="shared" si="36"/>
        <v>2023</v>
      </c>
      <c r="IZ13" s="3">
        <f t="shared" si="152"/>
        <v>3.6265014508420399</v>
      </c>
      <c r="JA13" s="353">
        <f>HLOOKUP($JG$3,'Timing calculations'!JH$8:JT$39,6,FALSE)</f>
        <v>3.8111708289603099</v>
      </c>
      <c r="JB13" s="3">
        <f t="shared" si="153"/>
        <v>3.82</v>
      </c>
      <c r="JC13" s="353">
        <f t="shared" si="154"/>
        <v>4.0210526315789474</v>
      </c>
      <c r="JD13" s="418">
        <f t="shared" si="37"/>
        <v>0.79999999999999982</v>
      </c>
      <c r="JE13" s="368">
        <f t="shared" si="155"/>
        <v>3.4999999999999996</v>
      </c>
      <c r="JF13" s="369">
        <f t="shared" si="156"/>
        <v>3.6842105263157894</v>
      </c>
      <c r="JG13" s="363">
        <f t="shared" si="157"/>
        <v>3.6191259953073085</v>
      </c>
      <c r="JH13" s="362">
        <f t="shared" si="38"/>
        <v>3.8096063108497984</v>
      </c>
      <c r="JI13" s="366">
        <f t="shared" si="39"/>
        <v>3.6206122875122944</v>
      </c>
      <c r="JJ13" s="367">
        <f t="shared" si="9"/>
        <v>3.8111708289603099</v>
      </c>
      <c r="JK13" s="363">
        <f t="shared" si="40"/>
        <v>3.6220985797172798</v>
      </c>
      <c r="JL13" s="362">
        <f t="shared" si="41"/>
        <v>3.812735347070821</v>
      </c>
      <c r="JM13" s="366">
        <f t="shared" si="158"/>
        <v>3.6235848719222652</v>
      </c>
      <c r="JN13" s="367">
        <f t="shared" si="42"/>
        <v>3.814299865181332</v>
      </c>
      <c r="JO13" s="363">
        <f t="shared" si="159"/>
        <v>3.6250711641272506</v>
      </c>
      <c r="JP13" s="362">
        <f t="shared" si="43"/>
        <v>3.8158643832918431</v>
      </c>
      <c r="JQ13" s="366">
        <f t="shared" si="160"/>
        <v>3.6257863074846455</v>
      </c>
      <c r="JR13" s="367">
        <f t="shared" si="44"/>
        <v>3.816617165773311</v>
      </c>
      <c r="JS13" s="363">
        <f t="shared" si="161"/>
        <v>3.6265014508420399</v>
      </c>
      <c r="JT13" s="362">
        <f t="shared" si="45"/>
        <v>3.8173699482547789</v>
      </c>
    </row>
    <row r="14" spans="1:280">
      <c r="A14" s="693" t="s">
        <v>101</v>
      </c>
      <c r="B14" s="693"/>
      <c r="C14" s="693"/>
      <c r="D14" s="693"/>
      <c r="E14" s="693"/>
      <c r="F14" s="693"/>
      <c r="H14" s="702" t="s">
        <v>115</v>
      </c>
      <c r="I14" s="703"/>
      <c r="J14" s="704"/>
      <c r="AJ14" s="238" t="s">
        <v>221</v>
      </c>
      <c r="AO14" s="89">
        <v>2024</v>
      </c>
      <c r="AP14" s="170">
        <f t="shared" si="162"/>
        <v>-3.8400000000000001E-3</v>
      </c>
      <c r="AQ14" s="170">
        <f t="shared" si="162"/>
        <v>-5.0000000000000012E-4</v>
      </c>
      <c r="AR14" s="170">
        <f t="shared" si="162"/>
        <v>0</v>
      </c>
      <c r="AS14" s="170">
        <f t="shared" si="162"/>
        <v>-1.8000000000000002E-2</v>
      </c>
      <c r="AU14" s="170">
        <f t="shared" si="163"/>
        <v>-6.7153284671532861E-3</v>
      </c>
      <c r="AV14" s="170">
        <f t="shared" si="163"/>
        <v>-1.3917274939172749E-2</v>
      </c>
      <c r="AW14" s="170">
        <f t="shared" si="163"/>
        <v>-6.5401459854014604E-2</v>
      </c>
      <c r="AY14" s="170">
        <f t="shared" si="164"/>
        <v>-1.9962352941176462E-2</v>
      </c>
      <c r="AZ14" s="278">
        <f t="shared" si="165"/>
        <v>9.9811764705882316E-4</v>
      </c>
      <c r="BA14" s="284">
        <f t="shared" si="166"/>
        <v>-2.2360282852173889E-2</v>
      </c>
      <c r="BB14" s="276">
        <f t="shared" si="167"/>
        <v>-4.3105277681159395E-3</v>
      </c>
      <c r="BC14" s="277">
        <f t="shared" si="10"/>
        <v>-2.4844758724637652E-3</v>
      </c>
      <c r="BD14" s="278">
        <f t="shared" si="168"/>
        <v>9.9811764705882316E-4</v>
      </c>
      <c r="BE14" s="284">
        <f t="shared" si="169"/>
        <v>-2.2360282852173931E-2</v>
      </c>
      <c r="BF14" s="276">
        <f t="shared" si="170"/>
        <v>-4.3105277681159395E-3</v>
      </c>
      <c r="BG14" s="277">
        <f t="shared" si="11"/>
        <v>-2.4844758724637699E-3</v>
      </c>
      <c r="BH14" s="278">
        <f t="shared" si="171"/>
        <v>1.8853333333333326E-3</v>
      </c>
      <c r="BI14" s="284">
        <f t="shared" si="172"/>
        <v>-4.4720565704347848E-2</v>
      </c>
      <c r="BJ14" s="276">
        <f t="shared" si="173"/>
        <v>-8.6210555362318912E-3</v>
      </c>
      <c r="BK14" s="277">
        <f t="shared" si="12"/>
        <v>-4.968951744927539E-3</v>
      </c>
      <c r="BL14" s="278">
        <f t="shared" si="174"/>
        <v>1.8853333333333326E-3</v>
      </c>
      <c r="BM14" s="284">
        <f t="shared" si="175"/>
        <v>-4.4720565704347806E-2</v>
      </c>
      <c r="BN14" s="276">
        <f t="shared" si="176"/>
        <v>-8.6210555362318756E-3</v>
      </c>
      <c r="BO14" s="277">
        <f t="shared" si="13"/>
        <v>-4.9689517449275338E-3</v>
      </c>
      <c r="BP14" s="278">
        <f t="shared" si="177"/>
        <v>1.8853333333333326E-3</v>
      </c>
      <c r="BQ14" s="284">
        <f t="shared" si="178"/>
        <v>-4.4720565704347862E-2</v>
      </c>
      <c r="BR14" s="276">
        <f t="shared" si="179"/>
        <v>-8.6210555362318878E-3</v>
      </c>
      <c r="BS14" s="277">
        <f t="shared" si="14"/>
        <v>-4.9689517449275399E-3</v>
      </c>
      <c r="BT14" s="278">
        <f t="shared" si="180"/>
        <v>1.8853333333333326E-3</v>
      </c>
      <c r="BU14" s="284">
        <f t="shared" si="181"/>
        <v>-4.4720565704347806E-2</v>
      </c>
      <c r="BV14" s="276">
        <f t="shared" si="182"/>
        <v>-8.6210555362318825E-3</v>
      </c>
      <c r="BW14" s="278">
        <f t="shared" si="15"/>
        <v>-4.9689517449275338E-3</v>
      </c>
      <c r="BX14" s="391">
        <f t="shared" si="46"/>
        <v>-1.2310117647058819E-2</v>
      </c>
      <c r="BY14" s="392">
        <f t="shared" si="47"/>
        <v>-1.9875806979710149E-2</v>
      </c>
      <c r="BZ14" s="278"/>
      <c r="CB14" s="279">
        <f t="shared" si="16"/>
        <v>-0.12833641620151709</v>
      </c>
      <c r="CC14" s="64">
        <f t="shared" si="17"/>
        <v>-0.12982277442692203</v>
      </c>
      <c r="CD14" s="64">
        <f t="shared" si="18"/>
        <v>-0.13130913265232699</v>
      </c>
      <c r="CE14" s="64">
        <f t="shared" si="19"/>
        <v>-0.13439275106392121</v>
      </c>
      <c r="CF14" s="64">
        <f t="shared" si="20"/>
        <v>-0.13747636947551542</v>
      </c>
      <c r="CG14" s="64">
        <f t="shared" si="21"/>
        <v>-0.14055998788710963</v>
      </c>
      <c r="CH14" s="64">
        <f t="shared" si="22"/>
        <v>-0.14364360629870385</v>
      </c>
      <c r="CI14">
        <v>2024</v>
      </c>
      <c r="CJ14" s="240"/>
      <c r="CL14">
        <v>2024</v>
      </c>
      <c r="CM14" s="3">
        <f t="shared" si="48"/>
        <v>0.95</v>
      </c>
      <c r="CN14" s="64">
        <f t="shared" si="23"/>
        <v>0.94616</v>
      </c>
      <c r="CO14" s="64">
        <f t="shared" si="23"/>
        <v>0.94566000000000006</v>
      </c>
      <c r="CP14" s="64">
        <f t="shared" si="23"/>
        <v>0.94566000000000006</v>
      </c>
      <c r="CQ14" s="64">
        <f t="shared" si="23"/>
        <v>0.92766000000000004</v>
      </c>
      <c r="CR14" s="64">
        <f t="shared" si="24"/>
        <v>0.92094467153284676</v>
      </c>
      <c r="CS14" s="64">
        <f t="shared" si="24"/>
        <v>0.90702739659367404</v>
      </c>
      <c r="CT14" s="64">
        <f t="shared" si="24"/>
        <v>0.84162593673965946</v>
      </c>
      <c r="CU14" s="64">
        <f t="shared" si="25"/>
        <v>0.82166358379848303</v>
      </c>
      <c r="CV14" s="64">
        <f t="shared" si="25"/>
        <v>0.82266170144554185</v>
      </c>
      <c r="CW14" s="65">
        <f t="shared" si="49"/>
        <v>0.82017722557307804</v>
      </c>
      <c r="CX14" s="64">
        <f t="shared" si="50"/>
        <v>0.82365981909260066</v>
      </c>
      <c r="CY14" s="65">
        <f t="shared" si="51"/>
        <v>0.81869086734767305</v>
      </c>
      <c r="CZ14" s="64">
        <f t="shared" si="52"/>
        <v>0.82554515242593396</v>
      </c>
      <c r="DA14" s="65">
        <f t="shared" si="53"/>
        <v>0.81560724893607883</v>
      </c>
      <c r="DB14" s="64">
        <f t="shared" si="54"/>
        <v>0.82743048575926725</v>
      </c>
      <c r="DC14" s="65">
        <f t="shared" si="55"/>
        <v>0.81252363052448462</v>
      </c>
      <c r="DD14" s="64">
        <f t="shared" si="56"/>
        <v>0.82931581909260055</v>
      </c>
      <c r="DE14" s="65">
        <f t="shared" si="57"/>
        <v>0.80944001211289041</v>
      </c>
      <c r="DF14" s="64">
        <f t="shared" si="58"/>
        <v>0.83120115242593384</v>
      </c>
      <c r="DG14" s="65">
        <f t="shared" si="59"/>
        <v>0.80635639370129619</v>
      </c>
      <c r="DL14">
        <v>2024</v>
      </c>
      <c r="DM14" s="64">
        <f t="shared" si="60"/>
        <v>0.80635639370129619</v>
      </c>
      <c r="DN14" s="64">
        <f t="shared" si="61"/>
        <v>0.80944001211289041</v>
      </c>
      <c r="DO14" s="64">
        <f t="shared" si="62"/>
        <v>0.81252363052448462</v>
      </c>
      <c r="DP14" s="64">
        <f t="shared" si="63"/>
        <v>0.81560724893607883</v>
      </c>
      <c r="DQ14" s="64">
        <f t="shared" si="64"/>
        <v>0.81869086734767305</v>
      </c>
      <c r="DR14" s="64">
        <f t="shared" si="65"/>
        <v>0.82017722557307804</v>
      </c>
      <c r="DS14" s="64">
        <f t="shared" si="26"/>
        <v>0.82166358379848303</v>
      </c>
      <c r="DT14" s="64">
        <f t="shared" si="27"/>
        <v>0.84162593673965946</v>
      </c>
      <c r="DU14" s="64">
        <f t="shared" si="28"/>
        <v>0.90702739659367404</v>
      </c>
      <c r="DV14" s="64">
        <f t="shared" si="29"/>
        <v>0.92094467153284676</v>
      </c>
      <c r="DW14" s="64">
        <f t="shared" si="30"/>
        <v>0.92766000000000004</v>
      </c>
      <c r="DX14" s="64">
        <f t="shared" si="31"/>
        <v>0.94566000000000006</v>
      </c>
      <c r="DY14" s="64">
        <f t="shared" si="32"/>
        <v>0.94566000000000006</v>
      </c>
      <c r="DZ14" s="64">
        <f t="shared" si="33"/>
        <v>0.94616</v>
      </c>
      <c r="EA14" s="3">
        <f t="shared" si="66"/>
        <v>0.95</v>
      </c>
      <c r="EB14">
        <v>2024</v>
      </c>
      <c r="EC14" s="269">
        <f t="shared" si="67"/>
        <v>0.8063563937012963</v>
      </c>
      <c r="ED14" s="269">
        <f t="shared" si="68"/>
        <v>0.05</v>
      </c>
      <c r="EE14" s="64">
        <f t="shared" si="34"/>
        <v>3.0836184115942133E-3</v>
      </c>
      <c r="EF14" s="64">
        <f t="shared" si="34"/>
        <v>3.0836184115942133E-3</v>
      </c>
      <c r="EG14" s="64">
        <f t="shared" si="34"/>
        <v>3.0836184115942133E-3</v>
      </c>
      <c r="EH14" s="64">
        <f t="shared" si="34"/>
        <v>3.0836184115942133E-3</v>
      </c>
      <c r="EI14" s="64">
        <f t="shared" si="34"/>
        <v>1.4863582254049934E-3</v>
      </c>
      <c r="EJ14" s="64">
        <f t="shared" si="34"/>
        <v>1.4863582254049934E-3</v>
      </c>
      <c r="EK14" s="64">
        <f t="shared" si="34"/>
        <v>1.9962352941176431E-2</v>
      </c>
      <c r="EL14" s="64">
        <f t="shared" si="34"/>
        <v>6.5401459854014576E-2</v>
      </c>
      <c r="EM14" s="64">
        <f t="shared" si="34"/>
        <v>1.3917274939172719E-2</v>
      </c>
      <c r="EN14" s="64">
        <f t="shared" si="34"/>
        <v>6.7153284671532809E-3</v>
      </c>
      <c r="EO14" s="64">
        <f t="shared" si="34"/>
        <v>1.8000000000000016E-2</v>
      </c>
      <c r="EP14" s="64">
        <f t="shared" si="34"/>
        <v>0</v>
      </c>
      <c r="EQ14" s="64">
        <f t="shared" si="34"/>
        <v>4.9999999999994493E-4</v>
      </c>
      <c r="ER14" s="64">
        <f t="shared" si="34"/>
        <v>3.8399999999999546E-3</v>
      </c>
      <c r="EX14" s="89">
        <v>2024</v>
      </c>
      <c r="EY14" s="278">
        <f t="shared" si="69"/>
        <v>0.96333333333333326</v>
      </c>
      <c r="EZ14" s="278"/>
      <c r="FA14" s="278">
        <f t="shared" si="70"/>
        <v>0.81777447895064692</v>
      </c>
      <c r="FB14" s="278">
        <f t="shared" si="35"/>
        <v>0.05</v>
      </c>
      <c r="FC14" s="64">
        <f t="shared" si="71"/>
        <v>2.5176022174299522E-2</v>
      </c>
      <c r="FD14" s="64">
        <f t="shared" si="72"/>
        <v>1.0563781437908494E-2</v>
      </c>
      <c r="FE14" s="64">
        <f t="shared" si="73"/>
        <v>6.6273479318734771E-2</v>
      </c>
      <c r="FF14" s="64">
        <f t="shared" si="74"/>
        <v>1.4102838605028357E-2</v>
      </c>
      <c r="FG14" s="64">
        <f t="shared" si="75"/>
        <v>6.8048661800486588E-3</v>
      </c>
      <c r="FH14" s="64">
        <f t="shared" si="76"/>
        <v>1.8240000000000017E-2</v>
      </c>
      <c r="FI14" s="64">
        <f t="shared" si="77"/>
        <v>0</v>
      </c>
      <c r="FJ14" s="64">
        <f t="shared" si="78"/>
        <v>5.0666666666661093E-4</v>
      </c>
      <c r="FK14" s="280">
        <f t="shared" si="79"/>
        <v>3.8911999999999541E-3</v>
      </c>
      <c r="FL14" s="64"/>
      <c r="FM14" s="89">
        <v>2024</v>
      </c>
      <c r="FN14" s="278">
        <f t="shared" si="80"/>
        <v>0.96333333333333326</v>
      </c>
      <c r="FP14" s="278">
        <f t="shared" si="81"/>
        <v>0.82089921227439566</v>
      </c>
      <c r="FQ14" s="278">
        <f t="shared" si="82"/>
        <v>0.05</v>
      </c>
      <c r="FR14" s="64">
        <f t="shared" si="83"/>
        <v>2.0140817739439619E-2</v>
      </c>
      <c r="FS14" s="64">
        <f t="shared" si="84"/>
        <v>1.2474252549019604E-2</v>
      </c>
      <c r="FT14" s="64">
        <f t="shared" si="85"/>
        <v>6.6273479318734771E-2</v>
      </c>
      <c r="FU14" s="64">
        <f t="shared" si="86"/>
        <v>1.4102838605028357E-2</v>
      </c>
      <c r="FV14" s="64">
        <f t="shared" si="87"/>
        <v>6.8048661800486588E-3</v>
      </c>
      <c r="FW14" s="64">
        <f t="shared" si="88"/>
        <v>1.8240000000000017E-2</v>
      </c>
      <c r="FX14" s="64">
        <f t="shared" si="89"/>
        <v>0</v>
      </c>
      <c r="FY14" s="64">
        <f t="shared" si="90"/>
        <v>5.0666666666661093E-4</v>
      </c>
      <c r="FZ14" s="280">
        <f t="shared" si="91"/>
        <v>3.8911999999999541E-3</v>
      </c>
      <c r="GA14" s="64"/>
      <c r="GB14" s="89">
        <v>2024</v>
      </c>
      <c r="GC14" s="278">
        <f t="shared" si="92"/>
        <v>0.96333333333333326</v>
      </c>
      <c r="GE14" s="278">
        <f t="shared" si="93"/>
        <v>0.82402394559814451</v>
      </c>
      <c r="GF14" s="278">
        <f t="shared" si="94"/>
        <v>0.05</v>
      </c>
      <c r="GG14" s="64">
        <f t="shared" si="95"/>
        <v>1.5105613304579711E-2</v>
      </c>
      <c r="GH14" s="64">
        <f t="shared" si="96"/>
        <v>1.4384723660130714E-2</v>
      </c>
      <c r="GI14" s="64">
        <f t="shared" si="97"/>
        <v>6.6273479318734771E-2</v>
      </c>
      <c r="GJ14" s="64">
        <f t="shared" si="98"/>
        <v>1.4102838605028357E-2</v>
      </c>
      <c r="GK14" s="64">
        <f t="shared" si="99"/>
        <v>6.8048661800486588E-3</v>
      </c>
      <c r="GL14" s="64">
        <f t="shared" si="100"/>
        <v>1.8240000000000017E-2</v>
      </c>
      <c r="GM14" s="64">
        <f t="shared" si="101"/>
        <v>0</v>
      </c>
      <c r="GN14" s="64">
        <f t="shared" si="102"/>
        <v>5.0666666666661093E-4</v>
      </c>
      <c r="GO14" s="280">
        <f t="shared" si="103"/>
        <v>3.8911999999999541E-3</v>
      </c>
      <c r="GP14" s="64"/>
      <c r="GQ14" s="89">
        <v>2024</v>
      </c>
      <c r="GR14" s="278">
        <f t="shared" si="104"/>
        <v>0.96333333333333326</v>
      </c>
      <c r="GT14" s="278">
        <f t="shared" si="105"/>
        <v>0.82714867892189325</v>
      </c>
      <c r="GU14" s="278">
        <f t="shared" si="106"/>
        <v>0.05</v>
      </c>
      <c r="GV14" s="64">
        <f t="shared" si="107"/>
        <v>1.007040886971981E-2</v>
      </c>
      <c r="GW14" s="64">
        <f t="shared" si="108"/>
        <v>1.6295194771241826E-2</v>
      </c>
      <c r="GX14" s="64">
        <f t="shared" si="109"/>
        <v>6.6273479318734771E-2</v>
      </c>
      <c r="GY14" s="64">
        <f t="shared" si="110"/>
        <v>1.4102838605028357E-2</v>
      </c>
      <c r="GZ14" s="64">
        <f t="shared" si="111"/>
        <v>6.8048661800486588E-3</v>
      </c>
      <c r="HA14" s="64">
        <f t="shared" si="112"/>
        <v>1.8240000000000017E-2</v>
      </c>
      <c r="HB14" s="64">
        <f t="shared" si="113"/>
        <v>0</v>
      </c>
      <c r="HC14" s="64">
        <f t="shared" si="114"/>
        <v>5.0666666666661093E-4</v>
      </c>
      <c r="HD14" s="280">
        <f t="shared" si="115"/>
        <v>3.8911999999999541E-3</v>
      </c>
      <c r="HE14" s="64"/>
      <c r="HF14" s="89">
        <v>2024</v>
      </c>
      <c r="HG14" s="278">
        <f t="shared" si="116"/>
        <v>0.96333333333333326</v>
      </c>
      <c r="HI14" s="278">
        <f t="shared" si="117"/>
        <v>0.83027341224564211</v>
      </c>
      <c r="HJ14" s="278">
        <f t="shared" si="118"/>
        <v>0.05</v>
      </c>
      <c r="HK14" s="64">
        <f t="shared" si="119"/>
        <v>5.035204434859903E-3</v>
      </c>
      <c r="HL14" s="64">
        <f t="shared" si="120"/>
        <v>1.8205665882352937E-2</v>
      </c>
      <c r="HM14" s="64">
        <f t="shared" si="121"/>
        <v>6.6273479318734771E-2</v>
      </c>
      <c r="HN14" s="64">
        <f t="shared" si="122"/>
        <v>1.4102838605028357E-2</v>
      </c>
      <c r="HO14" s="64">
        <f t="shared" si="123"/>
        <v>6.8048661800486588E-3</v>
      </c>
      <c r="HP14" s="64">
        <f t="shared" si="124"/>
        <v>1.8240000000000017E-2</v>
      </c>
      <c r="HQ14" s="64">
        <f t="shared" si="125"/>
        <v>0</v>
      </c>
      <c r="HR14" s="64">
        <f t="shared" si="126"/>
        <v>5.0666666666661093E-4</v>
      </c>
      <c r="HS14" s="280">
        <f t="shared" si="127"/>
        <v>3.8911999999999541E-3</v>
      </c>
      <c r="HT14" s="64"/>
      <c r="HU14" s="89">
        <v>2024</v>
      </c>
      <c r="HV14" s="278">
        <f t="shared" si="128"/>
        <v>0.96333333333333326</v>
      </c>
      <c r="HX14" s="278">
        <f t="shared" si="129"/>
        <v>0.8317795885807191</v>
      </c>
      <c r="HY14" s="278">
        <f t="shared" si="130"/>
        <v>0.05</v>
      </c>
      <c r="HZ14" s="64">
        <f t="shared" si="131"/>
        <v>2.5176022174299489E-3</v>
      </c>
      <c r="IA14" s="64">
        <f t="shared" si="132"/>
        <v>1.9217091764705877E-2</v>
      </c>
      <c r="IB14" s="64">
        <f t="shared" si="133"/>
        <v>6.6273479318734771E-2</v>
      </c>
      <c r="IC14" s="64">
        <f t="shared" si="134"/>
        <v>1.4102838605028357E-2</v>
      </c>
      <c r="ID14" s="64">
        <f t="shared" si="135"/>
        <v>6.8048661800486588E-3</v>
      </c>
      <c r="IE14" s="64">
        <f t="shared" si="136"/>
        <v>1.8240000000000017E-2</v>
      </c>
      <c r="IF14" s="64">
        <f t="shared" si="137"/>
        <v>0</v>
      </c>
      <c r="IG14" s="64">
        <f t="shared" si="138"/>
        <v>5.0666666666661093E-4</v>
      </c>
      <c r="IH14" s="280">
        <f t="shared" si="139"/>
        <v>3.8911999999999541E-3</v>
      </c>
      <c r="II14" s="64"/>
      <c r="IJ14" s="89">
        <v>2024</v>
      </c>
      <c r="IK14" s="278">
        <f t="shared" si="140"/>
        <v>0.96333333333333326</v>
      </c>
      <c r="IM14" s="278">
        <f t="shared" si="141"/>
        <v>0.83328576491579609</v>
      </c>
      <c r="IN14" s="278">
        <f t="shared" si="142"/>
        <v>0.05</v>
      </c>
      <c r="IO14" s="64">
        <v>0</v>
      </c>
      <c r="IP14" s="64">
        <f t="shared" si="143"/>
        <v>2.0228517647058818E-2</v>
      </c>
      <c r="IQ14" s="64">
        <f t="shared" si="144"/>
        <v>6.6273479318734771E-2</v>
      </c>
      <c r="IR14" s="64">
        <f t="shared" si="145"/>
        <v>1.4102838605028357E-2</v>
      </c>
      <c r="IS14" s="64">
        <f t="shared" si="146"/>
        <v>6.8048661800486588E-3</v>
      </c>
      <c r="IT14" s="64">
        <f t="shared" si="147"/>
        <v>1.8240000000000017E-2</v>
      </c>
      <c r="IU14" s="64">
        <f t="shared" si="148"/>
        <v>0</v>
      </c>
      <c r="IV14" s="64">
        <f t="shared" si="149"/>
        <v>5.0666666666661093E-4</v>
      </c>
      <c r="IW14" s="280">
        <f t="shared" si="150"/>
        <v>3.8911999999999541E-3</v>
      </c>
      <c r="IX14" s="3">
        <f t="shared" si="151"/>
        <v>0.74999999999999956</v>
      </c>
      <c r="IY14">
        <f t="shared" si="36"/>
        <v>2024</v>
      </c>
      <c r="IZ14" s="3">
        <f t="shared" si="152"/>
        <v>4.459787215757836</v>
      </c>
      <c r="JA14" s="353">
        <f>HLOOKUP($JG$3,'Timing calculations'!JH$8:JT$39,7,FALSE)</f>
        <v>4.6752752629333587</v>
      </c>
      <c r="JB14" s="3">
        <f t="shared" si="153"/>
        <v>4.7833333333333332</v>
      </c>
      <c r="JC14" s="353">
        <f t="shared" si="154"/>
        <v>5.0350877192982457</v>
      </c>
      <c r="JD14" s="418">
        <f t="shared" si="37"/>
        <v>0.74999999999999978</v>
      </c>
      <c r="JE14" s="368">
        <f t="shared" si="155"/>
        <v>4.2499999999999991</v>
      </c>
      <c r="JF14" s="369">
        <f t="shared" si="156"/>
        <v>4.473684210526315</v>
      </c>
      <c r="JG14" s="363">
        <f t="shared" si="157"/>
        <v>4.4369004742579552</v>
      </c>
      <c r="JH14" s="362">
        <f t="shared" si="38"/>
        <v>4.6704215518504792</v>
      </c>
      <c r="JI14" s="366">
        <f t="shared" si="39"/>
        <v>4.4415114997866905</v>
      </c>
      <c r="JJ14" s="367">
        <f t="shared" si="9"/>
        <v>4.6752752629333587</v>
      </c>
      <c r="JK14" s="363">
        <f t="shared" si="40"/>
        <v>4.446122525315424</v>
      </c>
      <c r="JL14" s="362">
        <f t="shared" si="41"/>
        <v>4.6801289740162364</v>
      </c>
      <c r="JM14" s="366">
        <f t="shared" si="158"/>
        <v>4.4507335508441583</v>
      </c>
      <c r="JN14" s="367">
        <f t="shared" si="42"/>
        <v>4.6849826850991141</v>
      </c>
      <c r="JO14" s="363">
        <f t="shared" si="159"/>
        <v>4.4553445763728927</v>
      </c>
      <c r="JP14" s="362">
        <f t="shared" si="43"/>
        <v>4.6898363961819927</v>
      </c>
      <c r="JQ14" s="366">
        <f t="shared" si="160"/>
        <v>4.4575658960653648</v>
      </c>
      <c r="JR14" s="367">
        <f t="shared" si="44"/>
        <v>4.6921746274372262</v>
      </c>
      <c r="JS14" s="363">
        <f t="shared" si="161"/>
        <v>4.459787215757836</v>
      </c>
      <c r="JT14" s="362">
        <f t="shared" si="45"/>
        <v>4.6945128586924589</v>
      </c>
    </row>
    <row r="15" spans="1:280">
      <c r="A15" s="689" t="s">
        <v>102</v>
      </c>
      <c r="B15" s="689"/>
      <c r="C15" s="689"/>
      <c r="D15" s="689"/>
      <c r="E15" s="689"/>
      <c r="F15" s="689"/>
      <c r="G15" s="122"/>
      <c r="H15" s="295" t="s">
        <v>146</v>
      </c>
      <c r="I15" s="2" t="s">
        <v>147</v>
      </c>
      <c r="J15" s="296" t="s">
        <v>148</v>
      </c>
      <c r="K15" s="2"/>
      <c r="AO15" s="89">
        <v>2025</v>
      </c>
      <c r="AP15" s="170">
        <f t="shared" si="162"/>
        <v>-4.8000000000000004E-3</v>
      </c>
      <c r="AQ15" s="170">
        <f t="shared" si="162"/>
        <v>-7.5000000000000023E-4</v>
      </c>
      <c r="AR15" s="170">
        <f t="shared" si="162"/>
        <v>-8.653846153846153E-4</v>
      </c>
      <c r="AS15" s="170">
        <f t="shared" si="162"/>
        <v>-2.2500000000000003E-2</v>
      </c>
      <c r="AU15" s="170">
        <f t="shared" si="163"/>
        <v>-8.3941605839416081E-3</v>
      </c>
      <c r="AV15" s="170">
        <f t="shared" si="163"/>
        <v>-1.7396593673965937E-2</v>
      </c>
      <c r="AW15" s="170">
        <f t="shared" si="163"/>
        <v>-8.1751824817518248E-2</v>
      </c>
      <c r="AY15" s="170">
        <f t="shared" si="164"/>
        <v>-2.4952941176470577E-2</v>
      </c>
      <c r="AZ15" s="278">
        <f t="shared" si="165"/>
        <v>1.4971764705882348E-3</v>
      </c>
      <c r="BA15" s="284">
        <f t="shared" si="166"/>
        <v>-2.2992377739130411E-2</v>
      </c>
      <c r="BB15" s="276">
        <f t="shared" si="167"/>
        <v>-6.4657916521739089E-3</v>
      </c>
      <c r="BC15" s="277">
        <f t="shared" si="10"/>
        <v>-3.8320629565217349E-3</v>
      </c>
      <c r="BD15" s="278">
        <f t="shared" si="168"/>
        <v>1.4971764705882348E-3</v>
      </c>
      <c r="BE15" s="284">
        <f t="shared" si="169"/>
        <v>-2.2992377739130453E-2</v>
      </c>
      <c r="BF15" s="276">
        <f t="shared" si="170"/>
        <v>-6.4657916521739089E-3</v>
      </c>
      <c r="BG15" s="277">
        <f t="shared" si="11"/>
        <v>-3.8320629565217418E-3</v>
      </c>
      <c r="BH15" s="278">
        <f t="shared" si="171"/>
        <v>2.8279999999999989E-3</v>
      </c>
      <c r="BI15" s="284">
        <f t="shared" si="172"/>
        <v>-4.5984755478260891E-2</v>
      </c>
      <c r="BJ15" s="276">
        <f t="shared" si="173"/>
        <v>-1.2931583304347837E-2</v>
      </c>
      <c r="BK15" s="277">
        <f t="shared" si="12"/>
        <v>-7.6641259130434819E-3</v>
      </c>
      <c r="BL15" s="278">
        <f t="shared" si="174"/>
        <v>2.8279999999999989E-3</v>
      </c>
      <c r="BM15" s="284">
        <f t="shared" si="175"/>
        <v>-4.598475547826085E-2</v>
      </c>
      <c r="BN15" s="276">
        <f t="shared" si="176"/>
        <v>-1.2931583304347814E-2</v>
      </c>
      <c r="BO15" s="277">
        <f t="shared" si="13"/>
        <v>-7.664125913043475E-3</v>
      </c>
      <c r="BP15" s="278">
        <f t="shared" si="177"/>
        <v>2.8279999999999989E-3</v>
      </c>
      <c r="BQ15" s="284">
        <f t="shared" si="178"/>
        <v>-4.5984755478260905E-2</v>
      </c>
      <c r="BR15" s="276">
        <f t="shared" si="179"/>
        <v>-1.2931583304347832E-2</v>
      </c>
      <c r="BS15" s="277">
        <f t="shared" si="14"/>
        <v>-7.6641259130434836E-3</v>
      </c>
      <c r="BT15" s="278">
        <f t="shared" si="180"/>
        <v>2.8279999999999989E-3</v>
      </c>
      <c r="BU15" s="284">
        <f t="shared" si="181"/>
        <v>-4.598475547826085E-2</v>
      </c>
      <c r="BV15" s="276">
        <f t="shared" si="182"/>
        <v>-1.2931583304347825E-2</v>
      </c>
      <c r="BW15" s="278">
        <f t="shared" si="15"/>
        <v>-7.664125913043475E-3</v>
      </c>
      <c r="BX15" s="391">
        <f t="shared" si="46"/>
        <v>-1.3474588235294111E-2</v>
      </c>
      <c r="BY15" s="392">
        <f t="shared" si="47"/>
        <v>-3.0656503652173914E-2</v>
      </c>
      <c r="BZ15" s="278"/>
      <c r="CB15" s="279">
        <f t="shared" si="16"/>
        <v>-0.16141090486728099</v>
      </c>
      <c r="CC15" s="64">
        <f t="shared" si="17"/>
        <v>-0.16374579135321451</v>
      </c>
      <c r="CD15" s="64">
        <f t="shared" si="18"/>
        <v>-0.16608067783914804</v>
      </c>
      <c r="CE15" s="64">
        <f t="shared" si="19"/>
        <v>-0.17091680375219154</v>
      </c>
      <c r="CF15" s="64">
        <f t="shared" si="20"/>
        <v>-0.17575292966523501</v>
      </c>
      <c r="CG15" s="64">
        <f t="shared" si="21"/>
        <v>-0.18058905557827851</v>
      </c>
      <c r="CH15" s="64">
        <f t="shared" si="22"/>
        <v>-0.18542518149132198</v>
      </c>
      <c r="CI15">
        <v>2025</v>
      </c>
      <c r="CJ15" s="240"/>
      <c r="CL15">
        <v>2025</v>
      </c>
      <c r="CM15" s="3">
        <f t="shared" si="48"/>
        <v>0.95</v>
      </c>
      <c r="CN15" s="64">
        <f t="shared" si="23"/>
        <v>0.94519999999999993</v>
      </c>
      <c r="CO15" s="64">
        <f t="shared" si="23"/>
        <v>0.9444499999999999</v>
      </c>
      <c r="CP15" s="64">
        <f t="shared" si="23"/>
        <v>0.94358461538461524</v>
      </c>
      <c r="CQ15" s="64">
        <f t="shared" si="23"/>
        <v>0.92108461538461528</v>
      </c>
      <c r="CR15" s="64">
        <f t="shared" si="24"/>
        <v>0.91269045480067368</v>
      </c>
      <c r="CS15" s="64">
        <f t="shared" si="24"/>
        <v>0.89529386112670772</v>
      </c>
      <c r="CT15" s="64">
        <f t="shared" si="24"/>
        <v>0.81354203630918942</v>
      </c>
      <c r="CU15" s="64">
        <f t="shared" si="25"/>
        <v>0.7885890951327188</v>
      </c>
      <c r="CV15" s="64">
        <f t="shared" si="25"/>
        <v>0.79008627160330702</v>
      </c>
      <c r="CW15" s="65">
        <f t="shared" si="49"/>
        <v>0.7862542086467853</v>
      </c>
      <c r="CX15" s="64">
        <f t="shared" si="50"/>
        <v>0.79158344807389525</v>
      </c>
      <c r="CY15" s="65">
        <f t="shared" si="51"/>
        <v>0.78391932216085181</v>
      </c>
      <c r="CZ15" s="64">
        <f t="shared" si="52"/>
        <v>0.7944114480738953</v>
      </c>
      <c r="DA15" s="65">
        <f t="shared" si="53"/>
        <v>0.77908319624780842</v>
      </c>
      <c r="DB15" s="64">
        <f t="shared" si="54"/>
        <v>0.79723944807389535</v>
      </c>
      <c r="DC15" s="65">
        <f t="shared" si="55"/>
        <v>0.77424707033476503</v>
      </c>
      <c r="DD15" s="64">
        <f t="shared" si="56"/>
        <v>0.8000674480738954</v>
      </c>
      <c r="DE15" s="65">
        <f t="shared" si="57"/>
        <v>0.76941094442172164</v>
      </c>
      <c r="DF15" s="64">
        <f t="shared" si="58"/>
        <v>0.80289544807389546</v>
      </c>
      <c r="DG15" s="65">
        <f t="shared" si="59"/>
        <v>0.76457481850867826</v>
      </c>
      <c r="DL15">
        <v>2025</v>
      </c>
      <c r="DM15" s="64">
        <f t="shared" si="60"/>
        <v>0.76457481850867826</v>
      </c>
      <c r="DN15" s="64">
        <f t="shared" si="61"/>
        <v>0.76941094442172164</v>
      </c>
      <c r="DO15" s="64">
        <f t="shared" si="62"/>
        <v>0.77424707033476503</v>
      </c>
      <c r="DP15" s="64">
        <f t="shared" si="63"/>
        <v>0.77908319624780842</v>
      </c>
      <c r="DQ15" s="64">
        <f t="shared" si="64"/>
        <v>0.78391932216085181</v>
      </c>
      <c r="DR15" s="64">
        <f t="shared" si="65"/>
        <v>0.7862542086467853</v>
      </c>
      <c r="DS15" s="64">
        <f t="shared" si="26"/>
        <v>0.7885890951327188</v>
      </c>
      <c r="DT15" s="64">
        <f t="shared" si="27"/>
        <v>0.81354203630918942</v>
      </c>
      <c r="DU15" s="64">
        <f t="shared" si="28"/>
        <v>0.89529386112670772</v>
      </c>
      <c r="DV15" s="64">
        <f t="shared" si="29"/>
        <v>0.91269045480067368</v>
      </c>
      <c r="DW15" s="64">
        <f t="shared" si="30"/>
        <v>0.92108461538461528</v>
      </c>
      <c r="DX15" s="64">
        <f t="shared" si="31"/>
        <v>0.94358461538461524</v>
      </c>
      <c r="DY15" s="64">
        <f t="shared" si="32"/>
        <v>0.9444499999999999</v>
      </c>
      <c r="DZ15" s="64">
        <f t="shared" si="33"/>
        <v>0.94519999999999993</v>
      </c>
      <c r="EA15" s="3">
        <f t="shared" si="66"/>
        <v>0.95</v>
      </c>
      <c r="EB15">
        <v>2025</v>
      </c>
      <c r="EC15" s="269">
        <f t="shared" si="67"/>
        <v>0.76457481850867826</v>
      </c>
      <c r="ED15" s="269">
        <f t="shared" si="68"/>
        <v>0.05</v>
      </c>
      <c r="EE15" s="64">
        <f t="shared" si="34"/>
        <v>4.8361259130433876E-3</v>
      </c>
      <c r="EF15" s="64">
        <f t="shared" si="34"/>
        <v>4.8361259130433876E-3</v>
      </c>
      <c r="EG15" s="64">
        <f t="shared" si="34"/>
        <v>4.8361259130433876E-3</v>
      </c>
      <c r="EH15" s="64">
        <f t="shared" si="34"/>
        <v>4.8361259130433876E-3</v>
      </c>
      <c r="EI15" s="64">
        <f t="shared" si="34"/>
        <v>2.3348864859334961E-3</v>
      </c>
      <c r="EJ15" s="64">
        <f t="shared" si="34"/>
        <v>2.3348864859334961E-3</v>
      </c>
      <c r="EK15" s="64">
        <f t="shared" si="34"/>
        <v>2.4952941176470622E-2</v>
      </c>
      <c r="EL15" s="64">
        <f t="shared" si="34"/>
        <v>8.1751824817518304E-2</v>
      </c>
      <c r="EM15" s="64">
        <f t="shared" si="34"/>
        <v>1.7396593673965954E-2</v>
      </c>
      <c r="EN15" s="64">
        <f t="shared" si="34"/>
        <v>8.3941605839416011E-3</v>
      </c>
      <c r="EO15" s="64">
        <f t="shared" si="34"/>
        <v>2.2499999999999964E-2</v>
      </c>
      <c r="EP15" s="64">
        <f t="shared" si="34"/>
        <v>8.6538461538465672E-4</v>
      </c>
      <c r="EQ15" s="64">
        <f t="shared" si="34"/>
        <v>7.5000000000002842E-4</v>
      </c>
      <c r="ER15" s="64">
        <f t="shared" si="34"/>
        <v>4.8000000000000265E-3</v>
      </c>
      <c r="EX15" s="89">
        <v>2025</v>
      </c>
      <c r="EY15" s="278">
        <f t="shared" si="69"/>
        <v>0.96666666666666667</v>
      </c>
      <c r="EZ15" s="278"/>
      <c r="FA15" s="278">
        <f t="shared" si="70"/>
        <v>0.77815106548382262</v>
      </c>
      <c r="FB15" s="278">
        <f t="shared" si="35"/>
        <v>0.05</v>
      </c>
      <c r="FC15" s="64">
        <f t="shared" si="71"/>
        <v>3.8959306724637682E-2</v>
      </c>
      <c r="FD15" s="64">
        <f t="shared" si="72"/>
        <v>1.0824031372549016E-2</v>
      </c>
      <c r="FE15" s="64">
        <f t="shared" si="73"/>
        <v>8.3114355231143619E-2</v>
      </c>
      <c r="FF15" s="64">
        <f t="shared" si="74"/>
        <v>1.7686536901865391E-2</v>
      </c>
      <c r="FG15" s="64">
        <f t="shared" si="75"/>
        <v>8.534063260340629E-3</v>
      </c>
      <c r="FH15" s="64">
        <f t="shared" si="76"/>
        <v>2.2874999999999968E-2</v>
      </c>
      <c r="FI15" s="64">
        <f t="shared" si="77"/>
        <v>8.798076923077345E-4</v>
      </c>
      <c r="FJ15" s="64">
        <f t="shared" si="78"/>
        <v>7.62500000000029E-4</v>
      </c>
      <c r="FK15" s="280">
        <f t="shared" si="79"/>
        <v>4.8800000000000275E-3</v>
      </c>
      <c r="FL15" s="64"/>
      <c r="FM15" s="89">
        <v>2025</v>
      </c>
      <c r="FN15" s="278">
        <f t="shared" si="80"/>
        <v>0.96666666666666667</v>
      </c>
      <c r="FP15" s="278">
        <f t="shared" si="81"/>
        <v>0.78306779349541678</v>
      </c>
      <c r="FQ15" s="278">
        <f t="shared" si="82"/>
        <v>0.05</v>
      </c>
      <c r="FR15" s="64">
        <f t="shared" si="83"/>
        <v>3.1167445379710151E-2</v>
      </c>
      <c r="FS15" s="64">
        <f t="shared" si="84"/>
        <v>1.3699164705882349E-2</v>
      </c>
      <c r="FT15" s="64">
        <f t="shared" si="85"/>
        <v>8.3114355231143619E-2</v>
      </c>
      <c r="FU15" s="64">
        <f t="shared" si="86"/>
        <v>1.7686536901865391E-2</v>
      </c>
      <c r="FV15" s="64">
        <f t="shared" si="87"/>
        <v>8.534063260340629E-3</v>
      </c>
      <c r="FW15" s="64">
        <f t="shared" si="88"/>
        <v>2.2874999999999968E-2</v>
      </c>
      <c r="FX15" s="64">
        <f t="shared" si="89"/>
        <v>8.798076923077345E-4</v>
      </c>
      <c r="FY15" s="64">
        <f t="shared" si="90"/>
        <v>7.62500000000029E-4</v>
      </c>
      <c r="FZ15" s="280">
        <f t="shared" si="91"/>
        <v>4.8800000000000275E-3</v>
      </c>
      <c r="GA15" s="64"/>
      <c r="GB15" s="89">
        <v>2025</v>
      </c>
      <c r="GC15" s="278">
        <f t="shared" si="92"/>
        <v>0.96666666666666667</v>
      </c>
      <c r="GE15" s="278">
        <f t="shared" si="93"/>
        <v>0.78798452150701104</v>
      </c>
      <c r="GF15" s="278">
        <f t="shared" si="94"/>
        <v>0.05</v>
      </c>
      <c r="GG15" s="64">
        <f t="shared" si="95"/>
        <v>2.3375584034782609E-2</v>
      </c>
      <c r="GH15" s="64">
        <f t="shared" si="96"/>
        <v>1.6574298039215681E-2</v>
      </c>
      <c r="GI15" s="64">
        <f t="shared" si="97"/>
        <v>8.3114355231143619E-2</v>
      </c>
      <c r="GJ15" s="64">
        <f t="shared" si="98"/>
        <v>1.7686536901865391E-2</v>
      </c>
      <c r="GK15" s="64">
        <f t="shared" si="99"/>
        <v>8.534063260340629E-3</v>
      </c>
      <c r="GL15" s="64">
        <f t="shared" si="100"/>
        <v>2.2874999999999968E-2</v>
      </c>
      <c r="GM15" s="64">
        <f t="shared" si="101"/>
        <v>8.798076923077345E-4</v>
      </c>
      <c r="GN15" s="64">
        <f t="shared" si="102"/>
        <v>7.62500000000029E-4</v>
      </c>
      <c r="GO15" s="280">
        <f t="shared" si="103"/>
        <v>4.8800000000000275E-3</v>
      </c>
      <c r="GP15" s="64"/>
      <c r="GQ15" s="89">
        <v>2025</v>
      </c>
      <c r="GR15" s="278">
        <f t="shared" si="104"/>
        <v>0.96666666666666667</v>
      </c>
      <c r="GT15" s="278">
        <f t="shared" si="105"/>
        <v>0.79290124951860519</v>
      </c>
      <c r="GU15" s="278">
        <f t="shared" si="106"/>
        <v>0.05</v>
      </c>
      <c r="GV15" s="64">
        <f t="shared" si="107"/>
        <v>1.5583722689855077E-2</v>
      </c>
      <c r="GW15" s="64">
        <f t="shared" si="108"/>
        <v>1.9449431372549012E-2</v>
      </c>
      <c r="GX15" s="64">
        <f t="shared" si="109"/>
        <v>8.3114355231143619E-2</v>
      </c>
      <c r="GY15" s="64">
        <f t="shared" si="110"/>
        <v>1.7686536901865391E-2</v>
      </c>
      <c r="GZ15" s="64">
        <f t="shared" si="111"/>
        <v>8.534063260340629E-3</v>
      </c>
      <c r="HA15" s="64">
        <f t="shared" si="112"/>
        <v>2.2874999999999968E-2</v>
      </c>
      <c r="HB15" s="64">
        <f t="shared" si="113"/>
        <v>8.798076923077345E-4</v>
      </c>
      <c r="HC15" s="64">
        <f t="shared" si="114"/>
        <v>7.62500000000029E-4</v>
      </c>
      <c r="HD15" s="280">
        <f t="shared" si="115"/>
        <v>4.8800000000000275E-3</v>
      </c>
      <c r="HE15" s="64"/>
      <c r="HF15" s="89">
        <v>2025</v>
      </c>
      <c r="HG15" s="278">
        <f t="shared" si="116"/>
        <v>0.96666666666666667</v>
      </c>
      <c r="HI15" s="278">
        <f t="shared" si="117"/>
        <v>0.79781797753019934</v>
      </c>
      <c r="HJ15" s="278">
        <f t="shared" si="118"/>
        <v>0.05</v>
      </c>
      <c r="HK15" s="64">
        <f t="shared" si="119"/>
        <v>7.7918613449275359E-3</v>
      </c>
      <c r="HL15" s="64">
        <f t="shared" si="120"/>
        <v>2.2324564705882347E-2</v>
      </c>
      <c r="HM15" s="64">
        <f t="shared" si="121"/>
        <v>8.3114355231143619E-2</v>
      </c>
      <c r="HN15" s="64">
        <f t="shared" si="122"/>
        <v>1.7686536901865391E-2</v>
      </c>
      <c r="HO15" s="64">
        <f t="shared" si="123"/>
        <v>8.534063260340629E-3</v>
      </c>
      <c r="HP15" s="64">
        <f t="shared" si="124"/>
        <v>2.2874999999999968E-2</v>
      </c>
      <c r="HQ15" s="64">
        <f t="shared" si="125"/>
        <v>8.798076923077345E-4</v>
      </c>
      <c r="HR15" s="64">
        <f t="shared" si="126"/>
        <v>7.62500000000029E-4</v>
      </c>
      <c r="HS15" s="280">
        <f t="shared" si="127"/>
        <v>4.8800000000000275E-3</v>
      </c>
      <c r="HT15" s="64"/>
      <c r="HU15" s="89">
        <v>2025</v>
      </c>
      <c r="HV15" s="278">
        <f t="shared" si="128"/>
        <v>0.96666666666666667</v>
      </c>
      <c r="HX15" s="278">
        <f t="shared" si="129"/>
        <v>0.80019177879089842</v>
      </c>
      <c r="HY15" s="278">
        <f t="shared" si="130"/>
        <v>0.05</v>
      </c>
      <c r="HZ15" s="64">
        <f t="shared" si="131"/>
        <v>3.8959306724637645E-3</v>
      </c>
      <c r="IA15" s="64">
        <f t="shared" si="132"/>
        <v>2.3846694117647053E-2</v>
      </c>
      <c r="IB15" s="64">
        <f t="shared" si="133"/>
        <v>8.3114355231143619E-2</v>
      </c>
      <c r="IC15" s="64">
        <f t="shared" si="134"/>
        <v>1.7686536901865391E-2</v>
      </c>
      <c r="ID15" s="64">
        <f t="shared" si="135"/>
        <v>8.534063260340629E-3</v>
      </c>
      <c r="IE15" s="64">
        <f t="shared" si="136"/>
        <v>2.2874999999999968E-2</v>
      </c>
      <c r="IF15" s="64">
        <f t="shared" si="137"/>
        <v>8.798076923077345E-4</v>
      </c>
      <c r="IG15" s="64">
        <f t="shared" si="138"/>
        <v>7.62500000000029E-4</v>
      </c>
      <c r="IH15" s="280">
        <f t="shared" si="139"/>
        <v>4.8800000000000275E-3</v>
      </c>
      <c r="II15" s="64"/>
      <c r="IJ15" s="89">
        <v>2025</v>
      </c>
      <c r="IK15" s="278">
        <f t="shared" si="140"/>
        <v>0.96666666666666667</v>
      </c>
      <c r="IM15" s="278">
        <f t="shared" si="141"/>
        <v>0.8025655800515975</v>
      </c>
      <c r="IN15" s="278">
        <f t="shared" si="142"/>
        <v>0.05</v>
      </c>
      <c r="IO15" s="64">
        <v>0</v>
      </c>
      <c r="IP15" s="64">
        <f t="shared" si="143"/>
        <v>2.5368823529411756E-2</v>
      </c>
      <c r="IQ15" s="64">
        <f t="shared" si="144"/>
        <v>8.3114355231143619E-2</v>
      </c>
      <c r="IR15" s="64">
        <f t="shared" si="145"/>
        <v>1.7686536901865391E-2</v>
      </c>
      <c r="IS15" s="64">
        <f t="shared" si="146"/>
        <v>8.534063260340629E-3</v>
      </c>
      <c r="IT15" s="64">
        <f t="shared" si="147"/>
        <v>2.2874999999999968E-2</v>
      </c>
      <c r="IU15" s="64">
        <f t="shared" si="148"/>
        <v>8.798076923077345E-4</v>
      </c>
      <c r="IV15" s="64">
        <f t="shared" si="149"/>
        <v>7.62500000000029E-4</v>
      </c>
      <c r="IW15" s="280">
        <f t="shared" si="150"/>
        <v>4.8800000000000275E-3</v>
      </c>
      <c r="IX15" s="3">
        <f t="shared" si="151"/>
        <v>0.70000000000000018</v>
      </c>
      <c r="IY15">
        <f t="shared" si="36"/>
        <v>2025</v>
      </c>
      <c r="IZ15" s="3">
        <f t="shared" si="152"/>
        <v>5.2623527958094334</v>
      </c>
      <c r="JA15" s="353">
        <f>HLOOKUP($JG$3,'Timing calculations'!JH$8:JT$39,8,FALSE)</f>
        <v>5.4995571508232715</v>
      </c>
      <c r="JB15" s="3">
        <f t="shared" si="153"/>
        <v>5.75</v>
      </c>
      <c r="JC15" s="353">
        <f t="shared" si="154"/>
        <v>6.052631578947369</v>
      </c>
      <c r="JD15" s="418">
        <f t="shared" si="37"/>
        <v>0.69999999999999973</v>
      </c>
      <c r="JE15" s="368">
        <f t="shared" si="155"/>
        <v>4.9499999999999993</v>
      </c>
      <c r="JF15" s="369">
        <f t="shared" si="156"/>
        <v>5.2105263157894735</v>
      </c>
      <c r="JG15" s="363">
        <f t="shared" si="157"/>
        <v>5.2150515397417774</v>
      </c>
      <c r="JH15" s="362">
        <f t="shared" si="38"/>
        <v>5.4895279365702923</v>
      </c>
      <c r="JI15" s="366">
        <f t="shared" si="39"/>
        <v>5.2245792932821074</v>
      </c>
      <c r="JJ15" s="367">
        <f t="shared" si="9"/>
        <v>5.4995571508232715</v>
      </c>
      <c r="JK15" s="363">
        <f t="shared" si="40"/>
        <v>5.2341070468224347</v>
      </c>
      <c r="JL15" s="362">
        <f t="shared" si="41"/>
        <v>5.5095863650762471</v>
      </c>
      <c r="JM15" s="366">
        <f t="shared" si="158"/>
        <v>5.2436348003627637</v>
      </c>
      <c r="JN15" s="367">
        <f t="shared" si="42"/>
        <v>5.5196155793292254</v>
      </c>
      <c r="JO15" s="363">
        <f t="shared" si="159"/>
        <v>5.2531625539030919</v>
      </c>
      <c r="JP15" s="362">
        <f t="shared" si="43"/>
        <v>5.529644793582202</v>
      </c>
      <c r="JQ15" s="366">
        <f t="shared" si="160"/>
        <v>5.2577576748562631</v>
      </c>
      <c r="JR15" s="367">
        <f t="shared" si="44"/>
        <v>5.5344817630065934</v>
      </c>
      <c r="JS15" s="363">
        <f t="shared" si="161"/>
        <v>5.2623527958094334</v>
      </c>
      <c r="JT15" s="362">
        <f t="shared" si="45"/>
        <v>5.5393187324309832</v>
      </c>
    </row>
    <row r="16" spans="1:280">
      <c r="A16" s="259">
        <f>'1 StrategyMix for CarbonTargets'!V17</f>
        <v>0.2</v>
      </c>
      <c r="B16" s="247"/>
      <c r="C16" s="247"/>
      <c r="D16" s="247"/>
      <c r="E16" s="293"/>
      <c r="F16" s="293"/>
      <c r="G16" s="293"/>
      <c r="H16" s="297" cm="1">
        <f t="array" ref="H16">INDEX(WfH!G9:G53,MATCH(1,(A11=WfH!A9:A53)*(A16=WfH!B9:B53),0))</f>
        <v>3.3600000000000005E-2</v>
      </c>
      <c r="I16" s="298" cm="1">
        <f t="array" ref="I16">INDEX(WfH!I9:I53,MATCH(1,(A11=WfH!A9:A53)*(A16=WfH!B9:B53),0))</f>
        <v>3.1199999999999999E-2</v>
      </c>
      <c r="J16" s="299" cm="1">
        <f t="array" ref="J16">INDEX(WfH!H9:H53,MATCH(1,(A11=WfH!A9:A53)*(A16=WfH!B9:B53),0))</f>
        <v>2.8799999999999999E-2</v>
      </c>
      <c r="K16" s="5"/>
      <c r="AO16" s="89">
        <v>2026</v>
      </c>
      <c r="AP16" s="170">
        <f t="shared" si="162"/>
        <v>-5.7600000000000004E-3</v>
      </c>
      <c r="AQ16" s="170">
        <f t="shared" si="162"/>
        <v>-1.0000000000000002E-3</v>
      </c>
      <c r="AR16" s="170">
        <f t="shared" si="162"/>
        <v>-1.7307692307692306E-3</v>
      </c>
      <c r="AS16" s="170">
        <f t="shared" si="162"/>
        <v>-2.7000000000000003E-2</v>
      </c>
      <c r="AU16" s="170">
        <f t="shared" si="163"/>
        <v>-1.007299270072993E-2</v>
      </c>
      <c r="AV16" s="170">
        <f t="shared" si="163"/>
        <v>-2.0875912408759124E-2</v>
      </c>
      <c r="AW16" s="170">
        <f t="shared" si="163"/>
        <v>-9.8102189781021892E-2</v>
      </c>
      <c r="AY16" s="170">
        <f t="shared" si="164"/>
        <v>-2.9943529411764692E-2</v>
      </c>
      <c r="AZ16" s="278">
        <f t="shared" si="165"/>
        <v>1.9962352941176463E-3</v>
      </c>
      <c r="BA16" s="284">
        <f t="shared" si="166"/>
        <v>-2.3624472626086933E-2</v>
      </c>
      <c r="BB16" s="276">
        <f t="shared" si="167"/>
        <v>-8.6210555362318791E-3</v>
      </c>
      <c r="BC16" s="277">
        <f t="shared" si="10"/>
        <v>-5.2498828057970957E-3</v>
      </c>
      <c r="BD16" s="278">
        <f t="shared" si="168"/>
        <v>1.9962352941176463E-3</v>
      </c>
      <c r="BE16" s="284">
        <f t="shared" si="169"/>
        <v>-2.3624472626086974E-2</v>
      </c>
      <c r="BF16" s="276">
        <f t="shared" si="170"/>
        <v>-8.6210555362318791E-3</v>
      </c>
      <c r="BG16" s="277">
        <f t="shared" si="11"/>
        <v>-5.2498828057971052E-3</v>
      </c>
      <c r="BH16" s="278">
        <f t="shared" si="171"/>
        <v>3.7706666666666652E-3</v>
      </c>
      <c r="BI16" s="284">
        <f t="shared" si="172"/>
        <v>-4.7248945252173935E-2</v>
      </c>
      <c r="BJ16" s="276">
        <f t="shared" si="173"/>
        <v>-1.7242111072463782E-2</v>
      </c>
      <c r="BK16" s="277">
        <f t="shared" si="12"/>
        <v>-1.0499765611594207E-2</v>
      </c>
      <c r="BL16" s="278">
        <f t="shared" si="174"/>
        <v>3.7706666666666652E-3</v>
      </c>
      <c r="BM16" s="284">
        <f t="shared" si="175"/>
        <v>-4.7248945252173893E-2</v>
      </c>
      <c r="BN16" s="276">
        <f t="shared" si="176"/>
        <v>-1.7242111072463751E-2</v>
      </c>
      <c r="BO16" s="277">
        <f t="shared" si="13"/>
        <v>-1.0499765611594197E-2</v>
      </c>
      <c r="BP16" s="278">
        <f t="shared" si="177"/>
        <v>3.7706666666666652E-3</v>
      </c>
      <c r="BQ16" s="284">
        <f t="shared" si="178"/>
        <v>-4.7248945252173949E-2</v>
      </c>
      <c r="BR16" s="276">
        <f t="shared" si="179"/>
        <v>-1.7242111072463776E-2</v>
      </c>
      <c r="BS16" s="277">
        <f t="shared" si="14"/>
        <v>-1.049976561159421E-2</v>
      </c>
      <c r="BT16" s="278">
        <f t="shared" si="180"/>
        <v>3.7706666666666652E-3</v>
      </c>
      <c r="BU16" s="284">
        <f t="shared" si="181"/>
        <v>-4.7248945252173893E-2</v>
      </c>
      <c r="BV16" s="276">
        <f t="shared" si="182"/>
        <v>-1.7242111072463765E-2</v>
      </c>
      <c r="BW16" s="278">
        <f t="shared" si="15"/>
        <v>-1.0499765611594198E-2</v>
      </c>
      <c r="BX16" s="391">
        <f t="shared" si="46"/>
        <v>-1.4639058823529404E-2</v>
      </c>
      <c r="BY16" s="392">
        <f t="shared" si="47"/>
        <v>-4.1999062446376814E-2</v>
      </c>
      <c r="BZ16" s="278"/>
      <c r="CB16" s="279">
        <f t="shared" si="16"/>
        <v>-0.19448539353304489</v>
      </c>
      <c r="CC16" s="64">
        <f t="shared" si="17"/>
        <v>-0.19773904104472434</v>
      </c>
      <c r="CD16" s="64">
        <f t="shared" si="18"/>
        <v>-0.20099268855640379</v>
      </c>
      <c r="CE16" s="64">
        <f t="shared" si="19"/>
        <v>-0.20772178750133133</v>
      </c>
      <c r="CF16" s="64">
        <f t="shared" si="20"/>
        <v>-0.21445088644625884</v>
      </c>
      <c r="CG16" s="64">
        <f t="shared" si="21"/>
        <v>-0.22117998539118638</v>
      </c>
      <c r="CH16" s="64">
        <f t="shared" si="22"/>
        <v>-0.2279090843361139</v>
      </c>
      <c r="CI16">
        <v>2026</v>
      </c>
      <c r="CJ16" s="240"/>
      <c r="CL16">
        <v>2026</v>
      </c>
      <c r="CM16" s="3">
        <f t="shared" si="48"/>
        <v>0.95</v>
      </c>
      <c r="CN16" s="64">
        <f t="shared" si="23"/>
        <v>0.94423999999999997</v>
      </c>
      <c r="CO16" s="64">
        <f t="shared" si="23"/>
        <v>0.94323999999999997</v>
      </c>
      <c r="CP16" s="64">
        <f t="shared" si="23"/>
        <v>0.94150923076923076</v>
      </c>
      <c r="CQ16" s="64">
        <f t="shared" si="23"/>
        <v>0.91450923076923074</v>
      </c>
      <c r="CR16" s="64">
        <f t="shared" si="24"/>
        <v>0.90443623806850082</v>
      </c>
      <c r="CS16" s="64">
        <f t="shared" si="24"/>
        <v>0.88356032565974174</v>
      </c>
      <c r="CT16" s="64">
        <f t="shared" si="24"/>
        <v>0.78545813587871982</v>
      </c>
      <c r="CU16" s="64">
        <f t="shared" si="25"/>
        <v>0.75551460646695512</v>
      </c>
      <c r="CV16" s="64">
        <f t="shared" si="25"/>
        <v>0.75751084176107275</v>
      </c>
      <c r="CW16" s="65">
        <f t="shared" si="49"/>
        <v>0.75226095895527567</v>
      </c>
      <c r="CX16" s="64">
        <f t="shared" si="50"/>
        <v>0.75950707705519038</v>
      </c>
      <c r="CY16" s="65">
        <f t="shared" si="51"/>
        <v>0.74900731144359622</v>
      </c>
      <c r="CZ16" s="64">
        <f t="shared" si="52"/>
        <v>0.76327774372185708</v>
      </c>
      <c r="DA16" s="65">
        <f t="shared" si="53"/>
        <v>0.74227821249866877</v>
      </c>
      <c r="DB16" s="64">
        <f t="shared" si="54"/>
        <v>0.76704841038852378</v>
      </c>
      <c r="DC16" s="65">
        <f t="shared" si="55"/>
        <v>0.73554911355374131</v>
      </c>
      <c r="DD16" s="64">
        <f t="shared" si="56"/>
        <v>0.77081907705519048</v>
      </c>
      <c r="DE16" s="65">
        <f t="shared" si="57"/>
        <v>0.72882001460881385</v>
      </c>
      <c r="DF16" s="64">
        <f t="shared" si="58"/>
        <v>0.77458974372185718</v>
      </c>
      <c r="DG16" s="65">
        <f t="shared" si="59"/>
        <v>0.72209091566388639</v>
      </c>
      <c r="DL16">
        <v>2026</v>
      </c>
      <c r="DM16" s="64">
        <f t="shared" si="60"/>
        <v>0.72209091566388639</v>
      </c>
      <c r="DN16" s="64">
        <f t="shared" si="61"/>
        <v>0.72882001460881385</v>
      </c>
      <c r="DO16" s="64">
        <f t="shared" si="62"/>
        <v>0.73554911355374131</v>
      </c>
      <c r="DP16" s="64">
        <f t="shared" si="63"/>
        <v>0.74227821249866877</v>
      </c>
      <c r="DQ16" s="64">
        <f t="shared" si="64"/>
        <v>0.74900731144359622</v>
      </c>
      <c r="DR16" s="64">
        <f t="shared" si="65"/>
        <v>0.75226095895527567</v>
      </c>
      <c r="DS16" s="64">
        <f t="shared" si="26"/>
        <v>0.75551460646695512</v>
      </c>
      <c r="DT16" s="64">
        <f t="shared" si="27"/>
        <v>0.78545813587871982</v>
      </c>
      <c r="DU16" s="64">
        <f t="shared" si="28"/>
        <v>0.88356032565974174</v>
      </c>
      <c r="DV16" s="64">
        <f t="shared" si="29"/>
        <v>0.90443623806850082</v>
      </c>
      <c r="DW16" s="64">
        <f t="shared" si="30"/>
        <v>0.91450923076923074</v>
      </c>
      <c r="DX16" s="64">
        <f t="shared" si="31"/>
        <v>0.94150923076923076</v>
      </c>
      <c r="DY16" s="64">
        <f t="shared" si="32"/>
        <v>0.94323999999999997</v>
      </c>
      <c r="DZ16" s="64">
        <f t="shared" si="33"/>
        <v>0.94423999999999997</v>
      </c>
      <c r="EA16" s="3">
        <f t="shared" si="66"/>
        <v>0.95</v>
      </c>
      <c r="EB16">
        <v>2026</v>
      </c>
      <c r="EC16" s="269">
        <f t="shared" si="67"/>
        <v>0.72209091566388639</v>
      </c>
      <c r="ED16" s="269">
        <f t="shared" si="68"/>
        <v>0.05</v>
      </c>
      <c r="EE16" s="64">
        <f t="shared" si="34"/>
        <v>6.7290989449274585E-3</v>
      </c>
      <c r="EF16" s="64">
        <f t="shared" si="34"/>
        <v>6.7290989449274585E-3</v>
      </c>
      <c r="EG16" s="64">
        <f t="shared" si="34"/>
        <v>6.7290989449274585E-3</v>
      </c>
      <c r="EH16" s="64">
        <f t="shared" si="34"/>
        <v>6.7290989449274585E-3</v>
      </c>
      <c r="EI16" s="64">
        <f t="shared" si="34"/>
        <v>3.2536475116794472E-3</v>
      </c>
      <c r="EJ16" s="64">
        <f t="shared" si="34"/>
        <v>3.2536475116794472E-3</v>
      </c>
      <c r="EK16" s="64">
        <f t="shared" si="34"/>
        <v>2.9943529411764702E-2</v>
      </c>
      <c r="EL16" s="64">
        <f t="shared" si="34"/>
        <v>9.810218978102192E-2</v>
      </c>
      <c r="EM16" s="64">
        <f t="shared" si="34"/>
        <v>2.0875912408759079E-2</v>
      </c>
      <c r="EN16" s="64">
        <f t="shared" si="34"/>
        <v>1.0072992700729921E-2</v>
      </c>
      <c r="EO16" s="64">
        <f t="shared" si="34"/>
        <v>2.7000000000000024E-2</v>
      </c>
      <c r="EP16" s="64">
        <f t="shared" si="34"/>
        <v>1.7307692307692024E-3</v>
      </c>
      <c r="EQ16" s="64">
        <f t="shared" si="34"/>
        <v>1.0000000000000009E-3</v>
      </c>
      <c r="ER16" s="64">
        <f t="shared" si="34"/>
        <v>5.7599999999999874E-3</v>
      </c>
      <c r="EX16" s="89">
        <v>2026</v>
      </c>
      <c r="EY16" s="278">
        <f t="shared" si="69"/>
        <v>0.97</v>
      </c>
      <c r="EZ16" s="278"/>
      <c r="FA16" s="278">
        <f t="shared" si="70"/>
        <v>0.73753273397716379</v>
      </c>
      <c r="FB16" s="278">
        <f t="shared" si="35"/>
        <v>0.05</v>
      </c>
      <c r="FC16" s="64">
        <f t="shared" si="71"/>
        <v>5.3548804619130433E-2</v>
      </c>
      <c r="FD16" s="64">
        <f t="shared" si="72"/>
        <v>1.1085759999999995E-2</v>
      </c>
      <c r="FE16" s="64">
        <f t="shared" si="73"/>
        <v>0.10006423357664236</v>
      </c>
      <c r="FF16" s="64">
        <f t="shared" si="74"/>
        <v>2.1293430656934259E-2</v>
      </c>
      <c r="FG16" s="64">
        <f t="shared" si="75"/>
        <v>1.0274452554744519E-2</v>
      </c>
      <c r="FH16" s="64">
        <f t="shared" si="76"/>
        <v>2.7540000000000026E-2</v>
      </c>
      <c r="FI16" s="64">
        <f t="shared" si="77"/>
        <v>1.7653846153845864E-3</v>
      </c>
      <c r="FJ16" s="64">
        <f t="shared" si="78"/>
        <v>1.0200000000000009E-3</v>
      </c>
      <c r="FK16" s="280">
        <f t="shared" si="79"/>
        <v>5.8751999999999876E-3</v>
      </c>
      <c r="FL16" s="64"/>
      <c r="FM16" s="89">
        <v>2026</v>
      </c>
      <c r="FN16" s="278">
        <f t="shared" si="80"/>
        <v>0.97</v>
      </c>
      <c r="FP16" s="278">
        <f t="shared" si="81"/>
        <v>0.74439641490098984</v>
      </c>
      <c r="FQ16" s="278">
        <f t="shared" si="82"/>
        <v>0.05</v>
      </c>
      <c r="FR16" s="64">
        <f t="shared" si="83"/>
        <v>4.2839043695304349E-2</v>
      </c>
      <c r="FS16" s="64">
        <f t="shared" si="84"/>
        <v>1.4931839999999993E-2</v>
      </c>
      <c r="FT16" s="64">
        <f t="shared" si="85"/>
        <v>0.10006423357664236</v>
      </c>
      <c r="FU16" s="64">
        <f t="shared" si="86"/>
        <v>2.1293430656934259E-2</v>
      </c>
      <c r="FV16" s="64">
        <f t="shared" si="87"/>
        <v>1.0274452554744519E-2</v>
      </c>
      <c r="FW16" s="64">
        <f t="shared" si="88"/>
        <v>2.7540000000000026E-2</v>
      </c>
      <c r="FX16" s="64">
        <f t="shared" si="89"/>
        <v>1.7653846153845864E-3</v>
      </c>
      <c r="FY16" s="64">
        <f t="shared" si="90"/>
        <v>1.0200000000000009E-3</v>
      </c>
      <c r="FZ16" s="280">
        <f t="shared" si="91"/>
        <v>5.8751999999999876E-3</v>
      </c>
      <c r="GA16" s="64"/>
      <c r="GB16" s="89">
        <v>2026</v>
      </c>
      <c r="GC16" s="278">
        <f t="shared" si="92"/>
        <v>0.97</v>
      </c>
      <c r="GE16" s="278">
        <f t="shared" si="93"/>
        <v>0.75126009582481601</v>
      </c>
      <c r="GF16" s="278">
        <f t="shared" si="94"/>
        <v>0.05</v>
      </c>
      <c r="GG16" s="64">
        <f t="shared" si="95"/>
        <v>3.2129282771478251E-2</v>
      </c>
      <c r="GH16" s="64">
        <f t="shared" si="96"/>
        <v>1.877791999999999E-2</v>
      </c>
      <c r="GI16" s="64">
        <f t="shared" si="97"/>
        <v>0.10006423357664236</v>
      </c>
      <c r="GJ16" s="64">
        <f t="shared" si="98"/>
        <v>2.1293430656934259E-2</v>
      </c>
      <c r="GK16" s="64">
        <f t="shared" si="99"/>
        <v>1.0274452554744519E-2</v>
      </c>
      <c r="GL16" s="64">
        <f t="shared" si="100"/>
        <v>2.7540000000000026E-2</v>
      </c>
      <c r="GM16" s="64">
        <f t="shared" si="101"/>
        <v>1.7653846153845864E-3</v>
      </c>
      <c r="GN16" s="64">
        <f t="shared" si="102"/>
        <v>1.0200000000000009E-3</v>
      </c>
      <c r="GO16" s="280">
        <f t="shared" si="103"/>
        <v>5.8751999999999876E-3</v>
      </c>
      <c r="GP16" s="64"/>
      <c r="GQ16" s="89">
        <v>2026</v>
      </c>
      <c r="GR16" s="278">
        <f t="shared" si="104"/>
        <v>0.97</v>
      </c>
      <c r="GT16" s="278">
        <f t="shared" si="105"/>
        <v>0.75812377674864206</v>
      </c>
      <c r="GU16" s="278">
        <f t="shared" si="106"/>
        <v>0.05</v>
      </c>
      <c r="GV16" s="64">
        <f t="shared" si="107"/>
        <v>2.1419521847652175E-2</v>
      </c>
      <c r="GW16" s="64">
        <f t="shared" si="108"/>
        <v>2.2623999999999991E-2</v>
      </c>
      <c r="GX16" s="64">
        <f t="shared" si="109"/>
        <v>0.10006423357664236</v>
      </c>
      <c r="GY16" s="64">
        <f t="shared" si="110"/>
        <v>2.1293430656934259E-2</v>
      </c>
      <c r="GZ16" s="64">
        <f t="shared" si="111"/>
        <v>1.0274452554744519E-2</v>
      </c>
      <c r="HA16" s="64">
        <f t="shared" si="112"/>
        <v>2.7540000000000026E-2</v>
      </c>
      <c r="HB16" s="64">
        <f t="shared" si="113"/>
        <v>1.7653846153845864E-3</v>
      </c>
      <c r="HC16" s="64">
        <f t="shared" si="114"/>
        <v>1.0200000000000009E-3</v>
      </c>
      <c r="HD16" s="280">
        <f t="shared" si="115"/>
        <v>5.8751999999999876E-3</v>
      </c>
      <c r="HE16" s="64"/>
      <c r="HF16" s="89">
        <v>2026</v>
      </c>
      <c r="HG16" s="278">
        <f t="shared" si="116"/>
        <v>0.97</v>
      </c>
      <c r="HI16" s="278">
        <f t="shared" si="117"/>
        <v>0.76498745767246812</v>
      </c>
      <c r="HJ16" s="278">
        <f t="shared" si="118"/>
        <v>0.05</v>
      </c>
      <c r="HK16" s="64">
        <f t="shared" si="119"/>
        <v>1.0709760923826084E-2</v>
      </c>
      <c r="HL16" s="64">
        <f t="shared" si="120"/>
        <v>2.647007999999999E-2</v>
      </c>
      <c r="HM16" s="64">
        <f t="shared" si="121"/>
        <v>0.10006423357664236</v>
      </c>
      <c r="HN16" s="64">
        <f t="shared" si="122"/>
        <v>2.1293430656934259E-2</v>
      </c>
      <c r="HO16" s="64">
        <f t="shared" si="123"/>
        <v>1.0274452554744519E-2</v>
      </c>
      <c r="HP16" s="64">
        <f t="shared" si="124"/>
        <v>2.7540000000000026E-2</v>
      </c>
      <c r="HQ16" s="64">
        <f t="shared" si="125"/>
        <v>1.7653846153845864E-3</v>
      </c>
      <c r="HR16" s="64">
        <f t="shared" si="126"/>
        <v>1.0200000000000009E-3</v>
      </c>
      <c r="HS16" s="280">
        <f t="shared" si="127"/>
        <v>5.8751999999999876E-3</v>
      </c>
      <c r="HT16" s="64"/>
      <c r="HU16" s="89">
        <v>2026</v>
      </c>
      <c r="HV16" s="278">
        <f t="shared" si="128"/>
        <v>0.97</v>
      </c>
      <c r="HX16" s="278">
        <f t="shared" si="129"/>
        <v>0.76830617813438118</v>
      </c>
      <c r="HY16" s="278">
        <f t="shared" si="130"/>
        <v>0.05</v>
      </c>
      <c r="HZ16" s="64">
        <f t="shared" si="131"/>
        <v>5.3548804619130376E-3</v>
      </c>
      <c r="IA16" s="64">
        <f t="shared" si="132"/>
        <v>2.8506239999999988E-2</v>
      </c>
      <c r="IB16" s="64">
        <f t="shared" si="133"/>
        <v>0.10006423357664236</v>
      </c>
      <c r="IC16" s="64">
        <f t="shared" si="134"/>
        <v>2.1293430656934259E-2</v>
      </c>
      <c r="ID16" s="64">
        <f t="shared" si="135"/>
        <v>1.0274452554744519E-2</v>
      </c>
      <c r="IE16" s="64">
        <f t="shared" si="136"/>
        <v>2.7540000000000026E-2</v>
      </c>
      <c r="IF16" s="64">
        <f t="shared" si="137"/>
        <v>1.7653846153845864E-3</v>
      </c>
      <c r="IG16" s="64">
        <f t="shared" si="138"/>
        <v>1.0200000000000009E-3</v>
      </c>
      <c r="IH16" s="280">
        <f t="shared" si="139"/>
        <v>5.8751999999999876E-3</v>
      </c>
      <c r="II16" s="64"/>
      <c r="IJ16" s="89">
        <v>2026</v>
      </c>
      <c r="IK16" s="278">
        <f t="shared" si="140"/>
        <v>0.97</v>
      </c>
      <c r="IM16" s="278">
        <f t="shared" si="141"/>
        <v>0.77162489859629424</v>
      </c>
      <c r="IN16" s="278">
        <f t="shared" si="142"/>
        <v>0.05</v>
      </c>
      <c r="IO16" s="64">
        <v>0</v>
      </c>
      <c r="IP16" s="64">
        <f t="shared" si="143"/>
        <v>3.0542399999999987E-2</v>
      </c>
      <c r="IQ16" s="64">
        <f t="shared" si="144"/>
        <v>0.10006423357664236</v>
      </c>
      <c r="IR16" s="64">
        <f t="shared" si="145"/>
        <v>2.1293430656934259E-2</v>
      </c>
      <c r="IS16" s="64">
        <f t="shared" si="146"/>
        <v>1.0274452554744519E-2</v>
      </c>
      <c r="IT16" s="64">
        <f t="shared" si="147"/>
        <v>2.7540000000000026E-2</v>
      </c>
      <c r="IU16" s="64">
        <f t="shared" si="148"/>
        <v>1.7653846153845864E-3</v>
      </c>
      <c r="IV16" s="64">
        <f t="shared" si="149"/>
        <v>1.0200000000000009E-3</v>
      </c>
      <c r="IW16" s="280">
        <f t="shared" si="150"/>
        <v>5.8751999999999876E-3</v>
      </c>
      <c r="IX16" s="3">
        <f t="shared" si="151"/>
        <v>0.64999999999999947</v>
      </c>
      <c r="IY16">
        <f t="shared" si="36"/>
        <v>2026</v>
      </c>
      <c r="IZ16" s="3">
        <f t="shared" si="152"/>
        <v>6.0339776944057277</v>
      </c>
      <c r="JA16" s="353">
        <f>HLOOKUP($JG$3,'Timing calculations'!JH$8:JT$39,9,FALSE)</f>
        <v>6.2831323244032609</v>
      </c>
      <c r="JB16" s="3">
        <f t="shared" si="153"/>
        <v>6.72</v>
      </c>
      <c r="JC16" s="353">
        <f t="shared" si="154"/>
        <v>7.0736842105263156</v>
      </c>
      <c r="JD16" s="418">
        <f t="shared" si="37"/>
        <v>0.64999999999999969</v>
      </c>
      <c r="JE16" s="368">
        <f t="shared" si="155"/>
        <v>5.5999999999999988</v>
      </c>
      <c r="JF16" s="369">
        <f t="shared" si="156"/>
        <v>5.8947368421052619</v>
      </c>
      <c r="JG16" s="363">
        <f t="shared" si="157"/>
        <v>5.9525842737189407</v>
      </c>
      <c r="JH16" s="362">
        <f t="shared" si="38"/>
        <v>6.2658781828620436</v>
      </c>
      <c r="JI16" s="366">
        <f t="shared" si="39"/>
        <v>5.9689757081830974</v>
      </c>
      <c r="JJ16" s="367">
        <f t="shared" si="9"/>
        <v>6.2831323244032609</v>
      </c>
      <c r="JK16" s="363">
        <f t="shared" si="40"/>
        <v>5.9853671426472506</v>
      </c>
      <c r="JL16" s="362">
        <f t="shared" si="41"/>
        <v>6.3003864659444746</v>
      </c>
      <c r="JM16" s="366">
        <f t="shared" si="158"/>
        <v>6.0017585771114055</v>
      </c>
      <c r="JN16" s="367">
        <f t="shared" si="42"/>
        <v>6.3176406074856901</v>
      </c>
      <c r="JO16" s="363">
        <f t="shared" si="159"/>
        <v>6.0181500115755604</v>
      </c>
      <c r="JP16" s="362">
        <f t="shared" si="43"/>
        <v>6.3348947490269056</v>
      </c>
      <c r="JQ16" s="366">
        <f t="shared" si="160"/>
        <v>6.0260638529906441</v>
      </c>
      <c r="JR16" s="367">
        <f t="shared" si="44"/>
        <v>6.3432251084112048</v>
      </c>
      <c r="JS16" s="363">
        <f t="shared" si="161"/>
        <v>6.0339776944057277</v>
      </c>
      <c r="JT16" s="362">
        <f t="shared" si="45"/>
        <v>6.3515554677955031</v>
      </c>
    </row>
    <row r="17" spans="1:282">
      <c r="A17" s="247"/>
      <c r="B17" s="247"/>
      <c r="C17" s="247"/>
      <c r="D17" s="247"/>
      <c r="E17" s="247"/>
      <c r="F17" s="247"/>
      <c r="H17" s="300"/>
      <c r="J17" s="301"/>
      <c r="AO17" s="89">
        <v>2027</v>
      </c>
      <c r="AP17" s="170">
        <f t="shared" si="162"/>
        <v>-6.7200000000000003E-3</v>
      </c>
      <c r="AQ17" s="170">
        <f t="shared" si="162"/>
        <v>-1.2500000000000002E-3</v>
      </c>
      <c r="AR17" s="170">
        <f t="shared" si="162"/>
        <v>-2.5961538461538461E-3</v>
      </c>
      <c r="AS17" s="170">
        <f t="shared" si="162"/>
        <v>-3.15E-2</v>
      </c>
      <c r="AU17" s="170">
        <f t="shared" si="163"/>
        <v>-1.1751824817518252E-2</v>
      </c>
      <c r="AV17" s="170">
        <f t="shared" si="163"/>
        <v>-2.435523114355231E-2</v>
      </c>
      <c r="AW17" s="170">
        <f t="shared" si="163"/>
        <v>-0.11445255474452554</v>
      </c>
      <c r="AY17" s="170">
        <f t="shared" si="164"/>
        <v>-3.493411764705881E-2</v>
      </c>
      <c r="AZ17" s="278">
        <f t="shared" si="165"/>
        <v>2.4952941176470578E-3</v>
      </c>
      <c r="BA17" s="284">
        <f t="shared" si="166"/>
        <v>-2.4256567513043455E-2</v>
      </c>
      <c r="BB17" s="276">
        <f t="shared" si="167"/>
        <v>-1.0776319420289849E-2</v>
      </c>
      <c r="BC17" s="277">
        <f t="shared" si="10"/>
        <v>-6.7379354202898485E-3</v>
      </c>
      <c r="BD17" s="278">
        <f t="shared" si="168"/>
        <v>2.4952941176470578E-3</v>
      </c>
      <c r="BE17" s="284">
        <f t="shared" si="169"/>
        <v>-2.4256567513043496E-2</v>
      </c>
      <c r="BF17" s="276">
        <f t="shared" si="170"/>
        <v>-1.0776319420289849E-2</v>
      </c>
      <c r="BG17" s="277">
        <f t="shared" si="11"/>
        <v>-6.7379354202898607E-3</v>
      </c>
      <c r="BH17" s="278">
        <f t="shared" si="171"/>
        <v>4.7133333333333315E-3</v>
      </c>
      <c r="BI17" s="284">
        <f t="shared" si="172"/>
        <v>-4.8513135026086979E-2</v>
      </c>
      <c r="BJ17" s="276">
        <f t="shared" si="173"/>
        <v>-2.155263884057973E-2</v>
      </c>
      <c r="BK17" s="277">
        <f t="shared" si="12"/>
        <v>-1.3475870840579716E-2</v>
      </c>
      <c r="BL17" s="278">
        <f t="shared" si="174"/>
        <v>4.7133333333333315E-3</v>
      </c>
      <c r="BM17" s="284">
        <f t="shared" si="175"/>
        <v>-4.8513135026086937E-2</v>
      </c>
      <c r="BN17" s="276">
        <f t="shared" si="176"/>
        <v>-2.1552638840579688E-2</v>
      </c>
      <c r="BO17" s="277">
        <f t="shared" si="13"/>
        <v>-1.3475870840579702E-2</v>
      </c>
      <c r="BP17" s="278">
        <f t="shared" si="177"/>
        <v>4.7133333333333315E-3</v>
      </c>
      <c r="BQ17" s="284">
        <f t="shared" si="178"/>
        <v>-4.8513135026086993E-2</v>
      </c>
      <c r="BR17" s="276">
        <f t="shared" si="179"/>
        <v>-2.1552638840579719E-2</v>
      </c>
      <c r="BS17" s="277">
        <f t="shared" si="14"/>
        <v>-1.347587084057972E-2</v>
      </c>
      <c r="BT17" s="278">
        <f t="shared" si="180"/>
        <v>4.7133333333333315E-3</v>
      </c>
      <c r="BU17" s="284">
        <f t="shared" si="181"/>
        <v>-4.8513135026086937E-2</v>
      </c>
      <c r="BV17" s="276">
        <f t="shared" si="182"/>
        <v>-2.1552638840579705E-2</v>
      </c>
      <c r="BW17" s="278">
        <f t="shared" si="15"/>
        <v>-1.3475870840579704E-2</v>
      </c>
      <c r="BX17" s="391">
        <f t="shared" si="46"/>
        <v>-1.5803529411764695E-2</v>
      </c>
      <c r="BY17" s="392">
        <f t="shared" si="47"/>
        <v>-5.3903483362318844E-2</v>
      </c>
      <c r="BZ17" s="278"/>
      <c r="CB17" s="279">
        <f t="shared" si="16"/>
        <v>-0.22755988219880877</v>
      </c>
      <c r="CC17" s="64">
        <f t="shared" si="17"/>
        <v>-0.23180252350145156</v>
      </c>
      <c r="CD17" s="64">
        <f t="shared" si="18"/>
        <v>-0.23604516480409435</v>
      </c>
      <c r="CE17" s="64">
        <f t="shared" si="19"/>
        <v>-0.24480770231134075</v>
      </c>
      <c r="CF17" s="64">
        <f t="shared" si="20"/>
        <v>-0.25357023981858712</v>
      </c>
      <c r="CG17" s="64">
        <f t="shared" si="21"/>
        <v>-0.26233277732583354</v>
      </c>
      <c r="CH17" s="64">
        <f t="shared" si="22"/>
        <v>-0.27109531483307991</v>
      </c>
      <c r="CI17">
        <v>2027</v>
      </c>
      <c r="CJ17" s="240"/>
      <c r="CL17">
        <v>2027</v>
      </c>
      <c r="CM17" s="3">
        <f t="shared" si="48"/>
        <v>0.95</v>
      </c>
      <c r="CN17" s="64">
        <f t="shared" si="23"/>
        <v>0.94328000000000001</v>
      </c>
      <c r="CO17" s="64">
        <f t="shared" si="23"/>
        <v>0.94203000000000003</v>
      </c>
      <c r="CP17" s="64">
        <f t="shared" si="23"/>
        <v>0.93943384615384617</v>
      </c>
      <c r="CQ17" s="64">
        <f t="shared" si="23"/>
        <v>0.9079338461538462</v>
      </c>
      <c r="CR17" s="64">
        <f t="shared" si="24"/>
        <v>0.89618202133632796</v>
      </c>
      <c r="CS17" s="64">
        <f t="shared" si="24"/>
        <v>0.87182679019277565</v>
      </c>
      <c r="CT17" s="64">
        <f t="shared" si="24"/>
        <v>0.75737423544825011</v>
      </c>
      <c r="CU17" s="64">
        <f t="shared" si="25"/>
        <v>0.72244011780119133</v>
      </c>
      <c r="CV17" s="64">
        <f t="shared" si="25"/>
        <v>0.72493541191883837</v>
      </c>
      <c r="CW17" s="65">
        <f t="shared" si="49"/>
        <v>0.71819747649854848</v>
      </c>
      <c r="CX17" s="64">
        <f t="shared" si="50"/>
        <v>0.72743070603648541</v>
      </c>
      <c r="CY17" s="65">
        <f t="shared" si="51"/>
        <v>0.71395483519590563</v>
      </c>
      <c r="CZ17" s="64">
        <f t="shared" si="52"/>
        <v>0.73214403936981876</v>
      </c>
      <c r="DA17" s="65">
        <f t="shared" si="53"/>
        <v>0.70519229768865932</v>
      </c>
      <c r="DB17" s="64">
        <f t="shared" si="54"/>
        <v>0.7368573727031521</v>
      </c>
      <c r="DC17" s="65">
        <f t="shared" si="55"/>
        <v>0.696429760181413</v>
      </c>
      <c r="DD17" s="64">
        <f t="shared" si="56"/>
        <v>0.74157070603648545</v>
      </c>
      <c r="DE17" s="65">
        <f t="shared" si="57"/>
        <v>0.68766722267416658</v>
      </c>
      <c r="DF17" s="64">
        <f t="shared" si="58"/>
        <v>0.7462840393698188</v>
      </c>
      <c r="DG17" s="65">
        <f t="shared" si="59"/>
        <v>0.67890468516692026</v>
      </c>
      <c r="DL17">
        <v>2027</v>
      </c>
      <c r="DM17" s="64">
        <f t="shared" si="60"/>
        <v>0.67890468516692026</v>
      </c>
      <c r="DN17" s="64">
        <f t="shared" si="61"/>
        <v>0.68766722267416658</v>
      </c>
      <c r="DO17" s="64">
        <f t="shared" si="62"/>
        <v>0.696429760181413</v>
      </c>
      <c r="DP17" s="64">
        <f t="shared" si="63"/>
        <v>0.70519229768865932</v>
      </c>
      <c r="DQ17" s="64">
        <f t="shared" si="64"/>
        <v>0.71395483519590563</v>
      </c>
      <c r="DR17" s="64">
        <f t="shared" si="65"/>
        <v>0.71819747649854848</v>
      </c>
      <c r="DS17" s="64">
        <f t="shared" si="26"/>
        <v>0.72244011780119133</v>
      </c>
      <c r="DT17" s="64">
        <f t="shared" si="27"/>
        <v>0.75737423544825011</v>
      </c>
      <c r="DU17" s="64">
        <f t="shared" si="28"/>
        <v>0.87182679019277565</v>
      </c>
      <c r="DV17" s="64">
        <f t="shared" si="29"/>
        <v>0.89618202133632796</v>
      </c>
      <c r="DW17" s="64">
        <f t="shared" si="30"/>
        <v>0.9079338461538462</v>
      </c>
      <c r="DX17" s="64">
        <f t="shared" si="31"/>
        <v>0.93943384615384617</v>
      </c>
      <c r="DY17" s="64">
        <f t="shared" si="32"/>
        <v>0.94203000000000003</v>
      </c>
      <c r="DZ17" s="64">
        <f t="shared" si="33"/>
        <v>0.94328000000000001</v>
      </c>
      <c r="EA17" s="3">
        <f t="shared" si="66"/>
        <v>0.95</v>
      </c>
      <c r="EB17">
        <v>2027</v>
      </c>
      <c r="EC17" s="269">
        <f t="shared" si="67"/>
        <v>0.67890468516692026</v>
      </c>
      <c r="ED17" s="269">
        <f t="shared" si="68"/>
        <v>0.05</v>
      </c>
      <c r="EE17" s="64">
        <f t="shared" si="34"/>
        <v>8.7625375072463152E-3</v>
      </c>
      <c r="EF17" s="64">
        <f t="shared" si="34"/>
        <v>8.7625375072464262E-3</v>
      </c>
      <c r="EG17" s="64">
        <f t="shared" si="34"/>
        <v>8.7625375072463152E-3</v>
      </c>
      <c r="EH17" s="64">
        <f t="shared" si="34"/>
        <v>8.7625375072463152E-3</v>
      </c>
      <c r="EI17" s="64">
        <f t="shared" si="34"/>
        <v>4.2426413026428467E-3</v>
      </c>
      <c r="EJ17" s="64">
        <f t="shared" si="34"/>
        <v>4.2426413026428467E-3</v>
      </c>
      <c r="EK17" s="64">
        <f t="shared" si="34"/>
        <v>3.4934117647058782E-2</v>
      </c>
      <c r="EL17" s="64">
        <f t="shared" si="34"/>
        <v>0.11445255474452554</v>
      </c>
      <c r="EM17" s="64">
        <f t="shared" si="34"/>
        <v>2.4355231143552314E-2</v>
      </c>
      <c r="EN17" s="64">
        <f t="shared" si="34"/>
        <v>1.1751824817518242E-2</v>
      </c>
      <c r="EO17" s="64">
        <f t="shared" si="34"/>
        <v>3.1499999999999972E-2</v>
      </c>
      <c r="EP17" s="64">
        <f t="shared" si="34"/>
        <v>2.5961538461538591E-3</v>
      </c>
      <c r="EQ17" s="64">
        <f t="shared" si="34"/>
        <v>1.2499999999999734E-3</v>
      </c>
      <c r="ER17" s="64">
        <f t="shared" si="34"/>
        <v>6.7199999999999482E-3</v>
      </c>
      <c r="EX17" s="89">
        <v>2027</v>
      </c>
      <c r="EY17" s="278">
        <f t="shared" si="69"/>
        <v>0.97333333333333327</v>
      </c>
      <c r="EZ17" s="278"/>
      <c r="FA17" s="278">
        <f t="shared" si="70"/>
        <v>0.69591246115414829</v>
      </c>
      <c r="FB17" s="278">
        <f t="shared" si="35"/>
        <v>0.05</v>
      </c>
      <c r="FC17" s="64">
        <f t="shared" si="71"/>
        <v>6.8951539134299508E-2</v>
      </c>
      <c r="FD17" s="64">
        <f t="shared" si="72"/>
        <v>1.1348967320261428E-2</v>
      </c>
      <c r="FE17" s="64">
        <f t="shared" si="73"/>
        <v>0.11712311435523112</v>
      </c>
      <c r="FF17" s="64">
        <f t="shared" si="74"/>
        <v>2.4923519870235198E-2</v>
      </c>
      <c r="FG17" s="64">
        <f t="shared" si="75"/>
        <v>1.2026034063260332E-2</v>
      </c>
      <c r="FH17" s="64">
        <f t="shared" si="76"/>
        <v>3.2234999999999965E-2</v>
      </c>
      <c r="FI17" s="64">
        <f t="shared" si="77"/>
        <v>2.6567307692307823E-3</v>
      </c>
      <c r="FJ17" s="64">
        <f t="shared" si="78"/>
        <v>1.2791666666666392E-3</v>
      </c>
      <c r="FK17" s="280">
        <f t="shared" si="79"/>
        <v>6.876799999999946E-3</v>
      </c>
      <c r="FL17" s="64"/>
      <c r="FM17" s="89">
        <v>2027</v>
      </c>
      <c r="FN17" s="278">
        <f t="shared" si="80"/>
        <v>0.97333333333333327</v>
      </c>
      <c r="FP17" s="278">
        <f t="shared" si="81"/>
        <v>0.70487945786989703</v>
      </c>
      <c r="FQ17" s="278">
        <f t="shared" si="82"/>
        <v>0.05</v>
      </c>
      <c r="FR17" s="64">
        <f t="shared" si="83"/>
        <v>5.5161231307439607E-2</v>
      </c>
      <c r="FS17" s="64">
        <f t="shared" si="84"/>
        <v>1.6172278431372537E-2</v>
      </c>
      <c r="FT17" s="64">
        <f t="shared" si="85"/>
        <v>0.11712311435523112</v>
      </c>
      <c r="FU17" s="64">
        <f t="shared" si="86"/>
        <v>2.4923519870235198E-2</v>
      </c>
      <c r="FV17" s="64">
        <f t="shared" si="87"/>
        <v>1.2026034063260332E-2</v>
      </c>
      <c r="FW17" s="64">
        <f t="shared" si="88"/>
        <v>3.2234999999999965E-2</v>
      </c>
      <c r="FX17" s="64">
        <f t="shared" si="89"/>
        <v>2.6567307692307823E-3</v>
      </c>
      <c r="FY17" s="64">
        <f t="shared" si="90"/>
        <v>1.2791666666666392E-3</v>
      </c>
      <c r="FZ17" s="280">
        <f t="shared" si="91"/>
        <v>6.876799999999946E-3</v>
      </c>
      <c r="GA17" s="64"/>
      <c r="GB17" s="89">
        <v>2027</v>
      </c>
      <c r="GC17" s="278">
        <f t="shared" si="92"/>
        <v>0.97333333333333327</v>
      </c>
      <c r="GE17" s="278">
        <f t="shared" si="93"/>
        <v>0.71384645458564588</v>
      </c>
      <c r="GF17" s="278">
        <f t="shared" si="94"/>
        <v>0.05</v>
      </c>
      <c r="GG17" s="64">
        <f t="shared" si="95"/>
        <v>4.1370923480579698E-2</v>
      </c>
      <c r="GH17" s="64">
        <f t="shared" si="96"/>
        <v>2.0995589542483647E-2</v>
      </c>
      <c r="GI17" s="64">
        <f t="shared" si="97"/>
        <v>0.11712311435523112</v>
      </c>
      <c r="GJ17" s="64">
        <f t="shared" si="98"/>
        <v>2.4923519870235198E-2</v>
      </c>
      <c r="GK17" s="64">
        <f t="shared" si="99"/>
        <v>1.2026034063260332E-2</v>
      </c>
      <c r="GL17" s="64">
        <f t="shared" si="100"/>
        <v>3.2234999999999965E-2</v>
      </c>
      <c r="GM17" s="64">
        <f t="shared" si="101"/>
        <v>2.6567307692307823E-3</v>
      </c>
      <c r="GN17" s="64">
        <f t="shared" si="102"/>
        <v>1.2791666666666392E-3</v>
      </c>
      <c r="GO17" s="280">
        <f t="shared" si="103"/>
        <v>6.876799999999946E-3</v>
      </c>
      <c r="GP17" s="64"/>
      <c r="GQ17" s="89">
        <v>2027</v>
      </c>
      <c r="GR17" s="278">
        <f t="shared" si="104"/>
        <v>0.97333333333333327</v>
      </c>
      <c r="GT17" s="278">
        <f t="shared" si="105"/>
        <v>0.72281345130139474</v>
      </c>
      <c r="GU17" s="278">
        <f t="shared" si="106"/>
        <v>0.05</v>
      </c>
      <c r="GV17" s="64">
        <f t="shared" si="107"/>
        <v>2.7580615653719807E-2</v>
      </c>
      <c r="GW17" s="64">
        <f t="shared" si="108"/>
        <v>2.5818900653594757E-2</v>
      </c>
      <c r="GX17" s="64">
        <f t="shared" si="109"/>
        <v>0.11712311435523112</v>
      </c>
      <c r="GY17" s="64">
        <f t="shared" si="110"/>
        <v>2.4923519870235198E-2</v>
      </c>
      <c r="GZ17" s="64">
        <f t="shared" si="111"/>
        <v>1.2026034063260332E-2</v>
      </c>
      <c r="HA17" s="64">
        <f t="shared" si="112"/>
        <v>3.2234999999999965E-2</v>
      </c>
      <c r="HB17" s="64">
        <f t="shared" si="113"/>
        <v>2.6567307692307823E-3</v>
      </c>
      <c r="HC17" s="64">
        <f t="shared" si="114"/>
        <v>1.2791666666666392E-3</v>
      </c>
      <c r="HD17" s="280">
        <f t="shared" si="115"/>
        <v>6.876799999999946E-3</v>
      </c>
      <c r="HE17" s="64"/>
      <c r="HF17" s="89">
        <v>2027</v>
      </c>
      <c r="HG17" s="278">
        <f t="shared" si="116"/>
        <v>0.97333333333333327</v>
      </c>
      <c r="HI17" s="278">
        <f t="shared" si="117"/>
        <v>0.73178044801714359</v>
      </c>
      <c r="HJ17" s="278">
        <f t="shared" si="118"/>
        <v>0.05</v>
      </c>
      <c r="HK17" s="64">
        <f t="shared" si="119"/>
        <v>1.37903078268599E-2</v>
      </c>
      <c r="HL17" s="64">
        <f t="shared" si="120"/>
        <v>3.0642211764705864E-2</v>
      </c>
      <c r="HM17" s="64">
        <f t="shared" si="121"/>
        <v>0.11712311435523112</v>
      </c>
      <c r="HN17" s="64">
        <f t="shared" si="122"/>
        <v>2.4923519870235198E-2</v>
      </c>
      <c r="HO17" s="64">
        <f t="shared" si="123"/>
        <v>1.2026034063260332E-2</v>
      </c>
      <c r="HP17" s="64">
        <f t="shared" si="124"/>
        <v>3.2234999999999965E-2</v>
      </c>
      <c r="HQ17" s="64">
        <f t="shared" si="125"/>
        <v>2.6567307692307823E-3</v>
      </c>
      <c r="HR17" s="64">
        <f t="shared" si="126"/>
        <v>1.2791666666666392E-3</v>
      </c>
      <c r="HS17" s="280">
        <f t="shared" si="127"/>
        <v>6.876799999999946E-3</v>
      </c>
      <c r="HT17" s="64"/>
      <c r="HU17" s="89">
        <v>2027</v>
      </c>
      <c r="HV17" s="278">
        <f t="shared" si="128"/>
        <v>0.97333333333333327</v>
      </c>
      <c r="HX17" s="278">
        <f t="shared" si="129"/>
        <v>0.73612208428351467</v>
      </c>
      <c r="HY17" s="278">
        <f t="shared" si="130"/>
        <v>0.05</v>
      </c>
      <c r="HZ17" s="64">
        <f t="shared" si="131"/>
        <v>6.8951539134299439E-3</v>
      </c>
      <c r="IA17" s="64">
        <f t="shared" si="132"/>
        <v>3.3195729411764685E-2</v>
      </c>
      <c r="IB17" s="64">
        <f t="shared" si="133"/>
        <v>0.11712311435523112</v>
      </c>
      <c r="IC17" s="64">
        <f t="shared" si="134"/>
        <v>2.4923519870235198E-2</v>
      </c>
      <c r="ID17" s="64">
        <f t="shared" si="135"/>
        <v>1.2026034063260332E-2</v>
      </c>
      <c r="IE17" s="64">
        <f t="shared" si="136"/>
        <v>3.2234999999999965E-2</v>
      </c>
      <c r="IF17" s="64">
        <f t="shared" si="137"/>
        <v>2.6567307692307823E-3</v>
      </c>
      <c r="IG17" s="64">
        <f t="shared" si="138"/>
        <v>1.2791666666666392E-3</v>
      </c>
      <c r="IH17" s="280">
        <f t="shared" si="139"/>
        <v>6.876799999999946E-3</v>
      </c>
      <c r="II17" s="64"/>
      <c r="IJ17" s="89">
        <v>2027</v>
      </c>
      <c r="IK17" s="278">
        <f t="shared" si="140"/>
        <v>0.97333333333333327</v>
      </c>
      <c r="IM17" s="278">
        <f t="shared" si="141"/>
        <v>0.74046372054988574</v>
      </c>
      <c r="IN17" s="278">
        <f t="shared" si="142"/>
        <v>0.05</v>
      </c>
      <c r="IO17" s="64">
        <v>0</v>
      </c>
      <c r="IP17" s="64">
        <f t="shared" si="143"/>
        <v>3.5749247058823513E-2</v>
      </c>
      <c r="IQ17" s="64">
        <f t="shared" si="144"/>
        <v>0.11712311435523112</v>
      </c>
      <c r="IR17" s="64">
        <f t="shared" si="145"/>
        <v>2.4923519870235198E-2</v>
      </c>
      <c r="IS17" s="64">
        <f t="shared" si="146"/>
        <v>1.2026034063260332E-2</v>
      </c>
      <c r="IT17" s="64">
        <f t="shared" si="147"/>
        <v>3.2234999999999965E-2</v>
      </c>
      <c r="IU17" s="64">
        <f t="shared" si="148"/>
        <v>2.6567307692307823E-3</v>
      </c>
      <c r="IV17" s="64">
        <f t="shared" si="149"/>
        <v>1.2791666666666392E-3</v>
      </c>
      <c r="IW17" s="280">
        <f t="shared" si="150"/>
        <v>6.876799999999946E-3</v>
      </c>
      <c r="IX17" s="3">
        <f t="shared" si="151"/>
        <v>0.59999999999999964</v>
      </c>
      <c r="IY17">
        <f t="shared" si="36"/>
        <v>2027</v>
      </c>
      <c r="IZ17" s="3">
        <f t="shared" si="152"/>
        <v>6.7744414149556134</v>
      </c>
      <c r="JA17" s="353">
        <f>HLOOKUP($JG$3,'Timing calculations'!JH$8:JT$39,10,FALSE)</f>
        <v>7.0251107011084155</v>
      </c>
      <c r="JB17" s="3">
        <f t="shared" si="153"/>
        <v>7.6933333333333334</v>
      </c>
      <c r="JC17" s="353">
        <f t="shared" si="154"/>
        <v>8.098245614035088</v>
      </c>
      <c r="JD17" s="418">
        <f t="shared" si="37"/>
        <v>0.59999999999999964</v>
      </c>
      <c r="JE17" s="368">
        <f t="shared" si="155"/>
        <v>6.1999999999999984</v>
      </c>
      <c r="JF17" s="369">
        <f t="shared" si="156"/>
        <v>6.5263157894736832</v>
      </c>
      <c r="JG17" s="363">
        <f t="shared" si="157"/>
        <v>6.6484967348730892</v>
      </c>
      <c r="JH17" s="362">
        <f t="shared" si="38"/>
        <v>6.9984176156558835</v>
      </c>
      <c r="JI17" s="366">
        <f t="shared" si="39"/>
        <v>6.6738551660529941</v>
      </c>
      <c r="JJ17" s="367">
        <f t="shared" si="9"/>
        <v>7.0251107011084155</v>
      </c>
      <c r="JK17" s="363">
        <f t="shared" si="40"/>
        <v>6.6992135972328963</v>
      </c>
      <c r="JL17" s="362">
        <f t="shared" si="41"/>
        <v>7.051803786560944</v>
      </c>
      <c r="JM17" s="366">
        <f t="shared" si="158"/>
        <v>6.7245720284128003</v>
      </c>
      <c r="JN17" s="367">
        <f t="shared" si="42"/>
        <v>7.0784968720134742</v>
      </c>
      <c r="JO17" s="363">
        <f t="shared" si="159"/>
        <v>6.7499304595927043</v>
      </c>
      <c r="JP17" s="362">
        <f t="shared" si="43"/>
        <v>7.1051899574660045</v>
      </c>
      <c r="JQ17" s="366">
        <f t="shared" si="160"/>
        <v>6.7621859372741584</v>
      </c>
      <c r="JR17" s="367">
        <f t="shared" si="44"/>
        <v>7.1180904602885882</v>
      </c>
      <c r="JS17" s="363">
        <f t="shared" si="161"/>
        <v>6.7744414149556134</v>
      </c>
      <c r="JT17" s="362">
        <f t="shared" si="45"/>
        <v>7.1309909631111719</v>
      </c>
    </row>
    <row r="18" spans="1:282" ht="25" customHeight="1">
      <c r="A18" s="690" t="s">
        <v>103</v>
      </c>
      <c r="B18" s="690"/>
      <c r="C18" s="690"/>
      <c r="D18" s="690"/>
      <c r="E18" s="690"/>
      <c r="F18" s="690"/>
      <c r="G18" s="6"/>
      <c r="H18" s="300"/>
      <c r="J18" s="301"/>
      <c r="AL18" s="3"/>
      <c r="AO18" s="89">
        <v>2028</v>
      </c>
      <c r="AP18" s="170">
        <f t="shared" si="162"/>
        <v>-7.6800000000000002E-3</v>
      </c>
      <c r="AQ18" s="170">
        <f t="shared" si="162"/>
        <v>-1.5000000000000002E-3</v>
      </c>
      <c r="AR18" s="170">
        <f t="shared" si="162"/>
        <v>-3.4615384615384612E-3</v>
      </c>
      <c r="AS18" s="170">
        <f t="shared" si="162"/>
        <v>-3.6000000000000004E-2</v>
      </c>
      <c r="AU18" s="170">
        <f t="shared" si="163"/>
        <v>-1.3430656934306574E-2</v>
      </c>
      <c r="AV18" s="170">
        <f t="shared" si="163"/>
        <v>-2.7834549878345497E-2</v>
      </c>
      <c r="AW18" s="170">
        <f t="shared" si="163"/>
        <v>-0.13080291970802918</v>
      </c>
      <c r="AY18" s="170">
        <f t="shared" si="164"/>
        <v>-3.9924705882352925E-2</v>
      </c>
      <c r="AZ18" s="278">
        <f t="shared" si="165"/>
        <v>2.9943529411764693E-3</v>
      </c>
      <c r="BA18" s="284">
        <f t="shared" si="166"/>
        <v>-2.4888662399999976E-2</v>
      </c>
      <c r="BB18" s="276">
        <f t="shared" si="167"/>
        <v>-1.2931583304347819E-2</v>
      </c>
      <c r="BC18" s="277">
        <f t="shared" si="10"/>
        <v>-8.2962207999999916E-3</v>
      </c>
      <c r="BD18" s="278">
        <f t="shared" si="168"/>
        <v>2.9943529411764693E-3</v>
      </c>
      <c r="BE18" s="284">
        <f t="shared" si="169"/>
        <v>-2.4888662400000018E-2</v>
      </c>
      <c r="BF18" s="276">
        <f t="shared" si="170"/>
        <v>-1.2931583304347819E-2</v>
      </c>
      <c r="BG18" s="277">
        <f t="shared" si="11"/>
        <v>-8.2962208000000072E-3</v>
      </c>
      <c r="BH18" s="278">
        <f t="shared" si="171"/>
        <v>5.6559999999999978E-3</v>
      </c>
      <c r="BI18" s="284">
        <f t="shared" si="172"/>
        <v>-4.9777324800000022E-2</v>
      </c>
      <c r="BJ18" s="276">
        <f t="shared" si="173"/>
        <v>-2.5863166608695677E-2</v>
      </c>
      <c r="BK18" s="277">
        <f t="shared" si="12"/>
        <v>-1.6592441600000011E-2</v>
      </c>
      <c r="BL18" s="278">
        <f t="shared" si="174"/>
        <v>5.6559999999999978E-3</v>
      </c>
      <c r="BM18" s="284">
        <f t="shared" si="175"/>
        <v>-4.9777324799999981E-2</v>
      </c>
      <c r="BN18" s="276">
        <f t="shared" si="176"/>
        <v>-2.5863166608695625E-2</v>
      </c>
      <c r="BO18" s="277">
        <f t="shared" si="13"/>
        <v>-1.659244159999999E-2</v>
      </c>
      <c r="BP18" s="278">
        <f t="shared" si="177"/>
        <v>5.6559999999999978E-3</v>
      </c>
      <c r="BQ18" s="284">
        <f t="shared" si="178"/>
        <v>-4.9777324800000036E-2</v>
      </c>
      <c r="BR18" s="276">
        <f t="shared" si="179"/>
        <v>-2.5863166608695663E-2</v>
      </c>
      <c r="BS18" s="277">
        <f t="shared" si="14"/>
        <v>-1.6592441600000011E-2</v>
      </c>
      <c r="BT18" s="278">
        <f t="shared" si="180"/>
        <v>5.6559999999999978E-3</v>
      </c>
      <c r="BU18" s="284">
        <f t="shared" si="181"/>
        <v>-4.9777324799999981E-2</v>
      </c>
      <c r="BV18" s="276">
        <f t="shared" si="182"/>
        <v>-2.5863166608695646E-2</v>
      </c>
      <c r="BW18" s="278">
        <f t="shared" si="15"/>
        <v>-1.6592441599999994E-2</v>
      </c>
      <c r="BX18" s="391">
        <f t="shared" si="46"/>
        <v>-1.6967999999999994E-2</v>
      </c>
      <c r="BY18" s="392">
        <f t="shared" si="47"/>
        <v>-6.6369766400000016E-2</v>
      </c>
      <c r="BZ18" s="278"/>
      <c r="CB18" s="279">
        <f t="shared" si="16"/>
        <v>-0.26063437086457264</v>
      </c>
      <c r="CC18" s="64">
        <f t="shared" si="17"/>
        <v>-0.26593623872339617</v>
      </c>
      <c r="CD18" s="64">
        <f t="shared" si="18"/>
        <v>-0.27123810658221975</v>
      </c>
      <c r="CE18" s="64">
        <f t="shared" si="19"/>
        <v>-0.28217454818221976</v>
      </c>
      <c r="CF18" s="64">
        <f t="shared" si="20"/>
        <v>-0.29311098978221978</v>
      </c>
      <c r="CG18" s="64">
        <f t="shared" si="21"/>
        <v>-0.30404743138221979</v>
      </c>
      <c r="CH18" s="64">
        <f t="shared" si="22"/>
        <v>-0.3149838729822198</v>
      </c>
      <c r="CI18">
        <v>2028</v>
      </c>
      <c r="CJ18" s="240"/>
      <c r="CL18">
        <v>2028</v>
      </c>
      <c r="CM18" s="3">
        <f t="shared" si="48"/>
        <v>0.95</v>
      </c>
      <c r="CN18" s="64">
        <f t="shared" si="23"/>
        <v>0.94231999999999994</v>
      </c>
      <c r="CO18" s="64">
        <f t="shared" si="23"/>
        <v>0.94081999999999999</v>
      </c>
      <c r="CP18" s="64">
        <f t="shared" si="23"/>
        <v>0.93735846153846147</v>
      </c>
      <c r="CQ18" s="64">
        <f t="shared" si="23"/>
        <v>0.90135846153846144</v>
      </c>
      <c r="CR18" s="64">
        <f t="shared" si="24"/>
        <v>0.88792780460415488</v>
      </c>
      <c r="CS18" s="64">
        <f t="shared" si="24"/>
        <v>0.86009325472580933</v>
      </c>
      <c r="CT18" s="64">
        <f t="shared" si="24"/>
        <v>0.72929033501778018</v>
      </c>
      <c r="CU18" s="64">
        <f t="shared" si="25"/>
        <v>0.6893656291354272</v>
      </c>
      <c r="CV18" s="64">
        <f t="shared" si="25"/>
        <v>0.69235998207660365</v>
      </c>
      <c r="CW18" s="65">
        <f t="shared" si="49"/>
        <v>0.68406376127660362</v>
      </c>
      <c r="CX18" s="64">
        <f t="shared" si="50"/>
        <v>0.6953543350177801</v>
      </c>
      <c r="CY18" s="65">
        <f t="shared" si="51"/>
        <v>0.67876189341778004</v>
      </c>
      <c r="CZ18" s="64">
        <f t="shared" si="52"/>
        <v>0.7010103350177801</v>
      </c>
      <c r="DA18" s="65">
        <f t="shared" si="53"/>
        <v>0.66782545181777997</v>
      </c>
      <c r="DB18" s="64">
        <f t="shared" si="54"/>
        <v>0.70666633501778009</v>
      </c>
      <c r="DC18" s="65">
        <f t="shared" si="55"/>
        <v>0.65688901021778001</v>
      </c>
      <c r="DD18" s="64">
        <f t="shared" si="56"/>
        <v>0.71232233501778008</v>
      </c>
      <c r="DE18" s="65">
        <f t="shared" si="57"/>
        <v>0.64595256861777994</v>
      </c>
      <c r="DF18" s="64">
        <f t="shared" si="58"/>
        <v>0.71797833501778008</v>
      </c>
      <c r="DG18" s="65">
        <f t="shared" si="59"/>
        <v>0.63501612701777999</v>
      </c>
      <c r="DL18">
        <v>2028</v>
      </c>
      <c r="DM18" s="64">
        <f t="shared" si="60"/>
        <v>0.63501612701777999</v>
      </c>
      <c r="DN18" s="64">
        <f t="shared" si="61"/>
        <v>0.64595256861777994</v>
      </c>
      <c r="DO18" s="64">
        <f t="shared" si="62"/>
        <v>0.65688901021778001</v>
      </c>
      <c r="DP18" s="64">
        <f t="shared" si="63"/>
        <v>0.66782545181777997</v>
      </c>
      <c r="DQ18" s="64">
        <f t="shared" si="64"/>
        <v>0.67876189341778004</v>
      </c>
      <c r="DR18" s="64">
        <f t="shared" si="65"/>
        <v>0.68406376127660362</v>
      </c>
      <c r="DS18" s="64">
        <f t="shared" si="26"/>
        <v>0.6893656291354272</v>
      </c>
      <c r="DT18" s="64">
        <f t="shared" si="27"/>
        <v>0.72929033501778018</v>
      </c>
      <c r="DU18" s="64">
        <f t="shared" si="28"/>
        <v>0.86009325472580933</v>
      </c>
      <c r="DV18" s="64">
        <f t="shared" si="29"/>
        <v>0.88792780460415488</v>
      </c>
      <c r="DW18" s="64">
        <f t="shared" si="30"/>
        <v>0.90135846153846144</v>
      </c>
      <c r="DX18" s="64">
        <f t="shared" si="31"/>
        <v>0.93735846153846147</v>
      </c>
      <c r="DY18" s="64">
        <f t="shared" si="32"/>
        <v>0.94081999999999999</v>
      </c>
      <c r="DZ18" s="64">
        <f t="shared" si="33"/>
        <v>0.94231999999999994</v>
      </c>
      <c r="EA18" s="3">
        <f t="shared" si="66"/>
        <v>0.95</v>
      </c>
      <c r="EB18">
        <v>2028</v>
      </c>
      <c r="EC18" s="269">
        <f t="shared" si="67"/>
        <v>0.6350161270177801</v>
      </c>
      <c r="ED18" s="269">
        <f t="shared" si="68"/>
        <v>0.05</v>
      </c>
      <c r="EE18" s="64">
        <f t="shared" si="34"/>
        <v>1.0936441599999958E-2</v>
      </c>
      <c r="EF18" s="64">
        <f t="shared" si="34"/>
        <v>1.0936441600000069E-2</v>
      </c>
      <c r="EG18" s="64">
        <f t="shared" si="34"/>
        <v>1.0936441599999958E-2</v>
      </c>
      <c r="EH18" s="64">
        <f t="shared" si="34"/>
        <v>1.0936441600000069E-2</v>
      </c>
      <c r="EI18" s="64">
        <f t="shared" si="34"/>
        <v>5.3018678588235835E-3</v>
      </c>
      <c r="EJ18" s="64">
        <f t="shared" si="34"/>
        <v>5.3018678588235835E-3</v>
      </c>
      <c r="EK18" s="64">
        <f t="shared" si="34"/>
        <v>3.9924705882352973E-2</v>
      </c>
      <c r="EL18" s="64">
        <f t="shared" si="34"/>
        <v>0.13080291970802915</v>
      </c>
      <c r="EM18" s="64">
        <f t="shared" si="34"/>
        <v>2.7834549878345549E-2</v>
      </c>
      <c r="EN18" s="64">
        <f t="shared" si="34"/>
        <v>1.3430656934306562E-2</v>
      </c>
      <c r="EO18" s="64">
        <f t="shared" si="34"/>
        <v>3.6000000000000032E-2</v>
      </c>
      <c r="EP18" s="64">
        <f t="shared" si="34"/>
        <v>3.4615384615385159E-3</v>
      </c>
      <c r="EQ18" s="64">
        <f t="shared" si="34"/>
        <v>1.4999999999999458E-3</v>
      </c>
      <c r="ER18" s="64">
        <f t="shared" si="34"/>
        <v>7.6800000000000201E-3</v>
      </c>
      <c r="EX18" s="89">
        <v>2028</v>
      </c>
      <c r="EY18" s="278">
        <f t="shared" si="69"/>
        <v>0.97666666666666657</v>
      </c>
      <c r="EZ18" s="278"/>
      <c r="FA18" s="278">
        <f t="shared" si="70"/>
        <v>0.6532832237382542</v>
      </c>
      <c r="FB18" s="278">
        <f t="shared" si="35"/>
        <v>0.05</v>
      </c>
      <c r="FC18" s="64">
        <f t="shared" si="71"/>
        <v>8.5174533546666667E-2</v>
      </c>
      <c r="FD18" s="64">
        <f t="shared" si="72"/>
        <v>1.1613653333333328E-2</v>
      </c>
      <c r="FE18" s="64">
        <f t="shared" si="73"/>
        <v>0.13429099756690993</v>
      </c>
      <c r="FF18" s="64">
        <f t="shared" si="74"/>
        <v>2.8576804541768096E-2</v>
      </c>
      <c r="FG18" s="64">
        <f t="shared" si="75"/>
        <v>1.378880778588807E-2</v>
      </c>
      <c r="FH18" s="64">
        <f t="shared" si="76"/>
        <v>3.6960000000000028E-2</v>
      </c>
      <c r="FI18" s="64">
        <f t="shared" si="77"/>
        <v>3.5538461538462095E-3</v>
      </c>
      <c r="FJ18" s="64">
        <f t="shared" si="78"/>
        <v>1.5399999999999444E-3</v>
      </c>
      <c r="FK18" s="280">
        <f t="shared" si="79"/>
        <v>7.8848000000000199E-3</v>
      </c>
      <c r="FL18" s="64"/>
      <c r="FM18" s="89">
        <v>2028</v>
      </c>
      <c r="FN18" s="278">
        <f t="shared" si="80"/>
        <v>0.97666666666666657</v>
      </c>
      <c r="FP18" s="278">
        <f t="shared" si="81"/>
        <v>0.66451130378092094</v>
      </c>
      <c r="FQ18" s="278">
        <f t="shared" si="82"/>
        <v>0.05</v>
      </c>
      <c r="FR18" s="64">
        <f t="shared" si="83"/>
        <v>6.813962683733335E-2</v>
      </c>
      <c r="FS18" s="64">
        <f t="shared" si="84"/>
        <v>1.7420479999999992E-2</v>
      </c>
      <c r="FT18" s="64">
        <f t="shared" si="85"/>
        <v>0.13429099756690993</v>
      </c>
      <c r="FU18" s="64">
        <f t="shared" si="86"/>
        <v>2.8576804541768096E-2</v>
      </c>
      <c r="FV18" s="64">
        <f t="shared" si="87"/>
        <v>1.378880778588807E-2</v>
      </c>
      <c r="FW18" s="64">
        <f t="shared" si="88"/>
        <v>3.6960000000000028E-2</v>
      </c>
      <c r="FX18" s="64">
        <f t="shared" si="89"/>
        <v>3.5538461538462095E-3</v>
      </c>
      <c r="FY18" s="64">
        <f t="shared" si="90"/>
        <v>1.5399999999999444E-3</v>
      </c>
      <c r="FZ18" s="280">
        <f t="shared" si="91"/>
        <v>7.8848000000000199E-3</v>
      </c>
      <c r="GA18" s="64"/>
      <c r="GB18" s="89">
        <v>2028</v>
      </c>
      <c r="GC18" s="278">
        <f t="shared" si="92"/>
        <v>0.97666666666666657</v>
      </c>
      <c r="GE18" s="278">
        <f t="shared" si="93"/>
        <v>0.67573938382358767</v>
      </c>
      <c r="GF18" s="278">
        <f t="shared" si="94"/>
        <v>0.05</v>
      </c>
      <c r="GG18" s="64">
        <f t="shared" si="95"/>
        <v>5.1104720128000006E-2</v>
      </c>
      <c r="GH18" s="64">
        <f t="shared" si="96"/>
        <v>2.3227306666666656E-2</v>
      </c>
      <c r="GI18" s="64">
        <f t="shared" si="97"/>
        <v>0.13429099756690993</v>
      </c>
      <c r="GJ18" s="64">
        <f t="shared" si="98"/>
        <v>2.8576804541768096E-2</v>
      </c>
      <c r="GK18" s="64">
        <f t="shared" si="99"/>
        <v>1.378880778588807E-2</v>
      </c>
      <c r="GL18" s="64">
        <f t="shared" si="100"/>
        <v>3.6960000000000028E-2</v>
      </c>
      <c r="GM18" s="64">
        <f t="shared" si="101"/>
        <v>3.5538461538462095E-3</v>
      </c>
      <c r="GN18" s="64">
        <f t="shared" si="102"/>
        <v>1.5399999999999444E-3</v>
      </c>
      <c r="GO18" s="280">
        <f t="shared" si="103"/>
        <v>7.8848000000000199E-3</v>
      </c>
      <c r="GP18" s="64"/>
      <c r="GQ18" s="89">
        <v>2028</v>
      </c>
      <c r="GR18" s="278">
        <f t="shared" si="104"/>
        <v>0.97666666666666657</v>
      </c>
      <c r="GT18" s="278">
        <f t="shared" si="105"/>
        <v>0.6869674638662544</v>
      </c>
      <c r="GU18" s="278">
        <f t="shared" si="106"/>
        <v>0.05</v>
      </c>
      <c r="GV18" s="64">
        <f t="shared" si="107"/>
        <v>3.4069813418666682E-2</v>
      </c>
      <c r="GW18" s="64">
        <f t="shared" si="108"/>
        <v>2.9034133333333319E-2</v>
      </c>
      <c r="GX18" s="64">
        <f t="shared" si="109"/>
        <v>0.13429099756690993</v>
      </c>
      <c r="GY18" s="64">
        <f t="shared" si="110"/>
        <v>2.8576804541768096E-2</v>
      </c>
      <c r="GZ18" s="64">
        <f t="shared" si="111"/>
        <v>1.378880778588807E-2</v>
      </c>
      <c r="HA18" s="64">
        <f t="shared" si="112"/>
        <v>3.6960000000000028E-2</v>
      </c>
      <c r="HB18" s="64">
        <f t="shared" si="113"/>
        <v>3.5538461538462095E-3</v>
      </c>
      <c r="HC18" s="64">
        <f t="shared" si="114"/>
        <v>1.5399999999999444E-3</v>
      </c>
      <c r="HD18" s="280">
        <f t="shared" si="115"/>
        <v>7.8848000000000199E-3</v>
      </c>
      <c r="HE18" s="64"/>
      <c r="HF18" s="89">
        <v>2028</v>
      </c>
      <c r="HG18" s="278">
        <f t="shared" si="116"/>
        <v>0.97666666666666657</v>
      </c>
      <c r="HI18" s="278">
        <f t="shared" si="117"/>
        <v>0.69819554390892102</v>
      </c>
      <c r="HJ18" s="278">
        <f t="shared" si="118"/>
        <v>0.05</v>
      </c>
      <c r="HK18" s="64">
        <f t="shared" si="119"/>
        <v>1.7034906709333334E-2</v>
      </c>
      <c r="HL18" s="64">
        <f t="shared" si="120"/>
        <v>3.4840959999999983E-2</v>
      </c>
      <c r="HM18" s="64">
        <f t="shared" si="121"/>
        <v>0.13429099756690993</v>
      </c>
      <c r="HN18" s="64">
        <f t="shared" si="122"/>
        <v>2.8576804541768096E-2</v>
      </c>
      <c r="HO18" s="64">
        <f t="shared" si="123"/>
        <v>1.378880778588807E-2</v>
      </c>
      <c r="HP18" s="64">
        <f t="shared" si="124"/>
        <v>3.6960000000000028E-2</v>
      </c>
      <c r="HQ18" s="64">
        <f t="shared" si="125"/>
        <v>3.5538461538462095E-3</v>
      </c>
      <c r="HR18" s="64">
        <f t="shared" si="126"/>
        <v>1.5399999999999444E-3</v>
      </c>
      <c r="HS18" s="280">
        <f t="shared" si="127"/>
        <v>7.8848000000000199E-3</v>
      </c>
      <c r="HT18" s="64"/>
      <c r="HU18" s="89">
        <v>2028</v>
      </c>
      <c r="HV18" s="278">
        <f t="shared" si="128"/>
        <v>0.97666666666666657</v>
      </c>
      <c r="HX18" s="278">
        <f t="shared" si="129"/>
        <v>0.70363879491064651</v>
      </c>
      <c r="HY18" s="278">
        <f t="shared" si="130"/>
        <v>0.05</v>
      </c>
      <c r="HZ18" s="64">
        <f t="shared" si="131"/>
        <v>8.5174533546666584E-3</v>
      </c>
      <c r="IA18" s="64">
        <f t="shared" si="132"/>
        <v>3.7915162352941158E-2</v>
      </c>
      <c r="IB18" s="64">
        <f t="shared" si="133"/>
        <v>0.13429099756690993</v>
      </c>
      <c r="IC18" s="64">
        <f t="shared" si="134"/>
        <v>2.8576804541768096E-2</v>
      </c>
      <c r="ID18" s="64">
        <f t="shared" si="135"/>
        <v>1.378880778588807E-2</v>
      </c>
      <c r="IE18" s="64">
        <f t="shared" si="136"/>
        <v>3.6960000000000028E-2</v>
      </c>
      <c r="IF18" s="64">
        <f t="shared" si="137"/>
        <v>3.5538461538462095E-3</v>
      </c>
      <c r="IG18" s="64">
        <f t="shared" si="138"/>
        <v>1.5399999999999444E-3</v>
      </c>
      <c r="IH18" s="280">
        <f t="shared" si="139"/>
        <v>7.8848000000000199E-3</v>
      </c>
      <c r="II18" s="64"/>
      <c r="IJ18" s="89">
        <v>2028</v>
      </c>
      <c r="IK18" s="278">
        <f t="shared" si="140"/>
        <v>0.97666666666666657</v>
      </c>
      <c r="IM18" s="278">
        <f t="shared" si="141"/>
        <v>0.70908204591237201</v>
      </c>
      <c r="IN18" s="278">
        <f t="shared" si="142"/>
        <v>0.05</v>
      </c>
      <c r="IO18" s="64">
        <v>0</v>
      </c>
      <c r="IP18" s="64">
        <f t="shared" si="143"/>
        <v>4.0989364705882332E-2</v>
      </c>
      <c r="IQ18" s="64">
        <f t="shared" si="144"/>
        <v>0.13429099756690993</v>
      </c>
      <c r="IR18" s="64">
        <f t="shared" si="145"/>
        <v>2.8576804541768096E-2</v>
      </c>
      <c r="IS18" s="64">
        <f t="shared" si="146"/>
        <v>1.378880778588807E-2</v>
      </c>
      <c r="IT18" s="64">
        <f t="shared" si="147"/>
        <v>3.6960000000000028E-2</v>
      </c>
      <c r="IU18" s="64">
        <f t="shared" si="148"/>
        <v>3.5538461538462095E-3</v>
      </c>
      <c r="IV18" s="64">
        <f t="shared" si="149"/>
        <v>1.5399999999999444E-3</v>
      </c>
      <c r="IW18" s="280">
        <f t="shared" si="150"/>
        <v>7.8848000000000199E-3</v>
      </c>
      <c r="IX18" s="3">
        <f t="shared" si="151"/>
        <v>0.54999999999999982</v>
      </c>
      <c r="IY18">
        <f t="shared" si="36"/>
        <v>2028</v>
      </c>
      <c r="IZ18" s="3">
        <f t="shared" si="152"/>
        <v>7.4835234608679855</v>
      </c>
      <c r="JA18" s="353">
        <f>HLOOKUP($JG$3,'Timing calculations'!JH$8:JT$39,11,FALSE)</f>
        <v>7.7245962840356999</v>
      </c>
      <c r="JB18" s="3">
        <f t="shared" si="153"/>
        <v>8.67</v>
      </c>
      <c r="JC18" s="353">
        <f t="shared" si="154"/>
        <v>9.1263157894736846</v>
      </c>
      <c r="JD18" s="418">
        <f t="shared" si="37"/>
        <v>0.5499999999999996</v>
      </c>
      <c r="JE18" s="368">
        <f t="shared" si="155"/>
        <v>6.7499999999999982</v>
      </c>
      <c r="JF18" s="369">
        <f t="shared" si="156"/>
        <v>7.1052631578947354</v>
      </c>
      <c r="JG18" s="363">
        <f t="shared" si="157"/>
        <v>7.301779958611343</v>
      </c>
      <c r="JH18" s="362">
        <f t="shared" si="38"/>
        <v>7.6860841669593087</v>
      </c>
      <c r="JI18" s="366">
        <f t="shared" si="39"/>
        <v>7.3383664698339146</v>
      </c>
      <c r="JJ18" s="367">
        <f t="shared" si="9"/>
        <v>7.7245962840356999</v>
      </c>
      <c r="JK18" s="363">
        <f t="shared" si="40"/>
        <v>7.3749529810564844</v>
      </c>
      <c r="JL18" s="362">
        <f t="shared" si="41"/>
        <v>7.7631084011120892</v>
      </c>
      <c r="JM18" s="366">
        <f t="shared" si="158"/>
        <v>7.4115394922790543</v>
      </c>
      <c r="JN18" s="367">
        <f t="shared" si="42"/>
        <v>7.8016205181884786</v>
      </c>
      <c r="JO18" s="363">
        <f t="shared" si="159"/>
        <v>7.448126003501625</v>
      </c>
      <c r="JP18" s="362">
        <f t="shared" si="43"/>
        <v>7.8401326352648688</v>
      </c>
      <c r="JQ18" s="366">
        <f t="shared" si="160"/>
        <v>7.4658247321848048</v>
      </c>
      <c r="JR18" s="367">
        <f t="shared" si="44"/>
        <v>7.8587628759840058</v>
      </c>
      <c r="JS18" s="363">
        <f t="shared" si="161"/>
        <v>7.4835234608679855</v>
      </c>
      <c r="JT18" s="362">
        <f t="shared" si="45"/>
        <v>7.8773931167031428</v>
      </c>
    </row>
    <row r="19" spans="1:282">
      <c r="A19" s="259">
        <f>'1 StrategyMix for CarbonTargets'!V19</f>
        <v>0.2</v>
      </c>
      <c r="B19" s="247"/>
      <c r="C19" s="247"/>
      <c r="D19" s="247"/>
      <c r="E19" s="293"/>
      <c r="F19" s="293"/>
      <c r="G19" s="293"/>
      <c r="H19" s="297" cm="1">
        <f t="array" ref="H19">INDEX(DaS!I9:I53,MATCH(1,(A9=DaS!A9:A53)*(A19=DaS!B9:B53),0))</f>
        <v>1.0000000000000002E-2</v>
      </c>
      <c r="I19" s="298" cm="1">
        <f t="array" ref="I19">INDEX(DaS!H9:H53,MATCH(1,(A9=DaS!A9:A53)*(A19=DaS!B9:B53),0))</f>
        <v>8.0000000000000002E-3</v>
      </c>
      <c r="J19" s="299" cm="1">
        <f t="array" ref="J19">INDEX(DaS!G9:G53,MATCH(1,(A9=DaS!A9:A53)*(A19=DaS!B9:B53),0))</f>
        <v>7.000000000000001E-3</v>
      </c>
      <c r="K19" s="5"/>
      <c r="AL19" s="3"/>
      <c r="AO19" s="89">
        <v>2029</v>
      </c>
      <c r="AP19" s="170">
        <f t="shared" si="162"/>
        <v>-8.6400000000000001E-3</v>
      </c>
      <c r="AQ19" s="170">
        <f t="shared" si="162"/>
        <v>-1.7500000000000003E-3</v>
      </c>
      <c r="AR19" s="170">
        <f t="shared" si="162"/>
        <v>-4.3269230769230763E-3</v>
      </c>
      <c r="AS19" s="170">
        <f t="shared" si="162"/>
        <v>-4.0500000000000008E-2</v>
      </c>
      <c r="AU19" s="170">
        <f t="shared" si="163"/>
        <v>-1.5109489051094896E-2</v>
      </c>
      <c r="AV19" s="170">
        <f t="shared" si="163"/>
        <v>-3.1313868613138687E-2</v>
      </c>
      <c r="AW19" s="170">
        <f t="shared" si="163"/>
        <v>-0.14715328467153282</v>
      </c>
      <c r="AY19" s="170">
        <f t="shared" si="164"/>
        <v>-4.4915294117647039E-2</v>
      </c>
      <c r="AZ19" s="278">
        <f t="shared" si="165"/>
        <v>3.4934117647058807E-3</v>
      </c>
      <c r="BA19" s="284">
        <f t="shared" si="166"/>
        <v>-2.5520757286956498E-2</v>
      </c>
      <c r="BB19" s="276">
        <f t="shared" si="167"/>
        <v>-1.508684718840579E-2</v>
      </c>
      <c r="BC19" s="277">
        <f t="shared" si="10"/>
        <v>-9.9247389449275275E-3</v>
      </c>
      <c r="BD19" s="278">
        <f t="shared" si="168"/>
        <v>3.4934117647058807E-3</v>
      </c>
      <c r="BE19" s="284">
        <f t="shared" si="169"/>
        <v>-2.552075728695654E-2</v>
      </c>
      <c r="BF19" s="276">
        <f t="shared" si="170"/>
        <v>-1.508684718840579E-2</v>
      </c>
      <c r="BG19" s="277">
        <f t="shared" si="11"/>
        <v>-9.9247389449275449E-3</v>
      </c>
      <c r="BH19" s="278">
        <f t="shared" si="171"/>
        <v>6.5986666666666641E-3</v>
      </c>
      <c r="BI19" s="284">
        <f t="shared" si="172"/>
        <v>-5.1041514573913066E-2</v>
      </c>
      <c r="BJ19" s="276">
        <f t="shared" si="173"/>
        <v>-3.0173694376811624E-2</v>
      </c>
      <c r="BK19" s="277">
        <f t="shared" si="12"/>
        <v>-1.9849477889855086E-2</v>
      </c>
      <c r="BL19" s="278">
        <f t="shared" si="174"/>
        <v>6.5986666666666641E-3</v>
      </c>
      <c r="BM19" s="284">
        <f t="shared" si="175"/>
        <v>-5.1041514573913024E-2</v>
      </c>
      <c r="BN19" s="276">
        <f t="shared" si="176"/>
        <v>-3.0173694376811562E-2</v>
      </c>
      <c r="BO19" s="277">
        <f t="shared" si="13"/>
        <v>-1.9849477889855062E-2</v>
      </c>
      <c r="BP19" s="278">
        <f t="shared" si="177"/>
        <v>6.5986666666666641E-3</v>
      </c>
      <c r="BQ19" s="284">
        <f t="shared" si="178"/>
        <v>-5.104151457391308E-2</v>
      </c>
      <c r="BR19" s="276">
        <f t="shared" si="179"/>
        <v>-3.0173694376811607E-2</v>
      </c>
      <c r="BS19" s="277">
        <f t="shared" si="14"/>
        <v>-1.9849477889855083E-2</v>
      </c>
      <c r="BT19" s="278">
        <f t="shared" si="180"/>
        <v>6.5986666666666641E-3</v>
      </c>
      <c r="BU19" s="284">
        <f t="shared" si="181"/>
        <v>-5.1041514573913024E-2</v>
      </c>
      <c r="BV19" s="276">
        <f t="shared" si="182"/>
        <v>-3.0173694376811586E-2</v>
      </c>
      <c r="BW19" s="278">
        <f t="shared" si="15"/>
        <v>-1.9849477889855062E-2</v>
      </c>
      <c r="BX19" s="391">
        <f t="shared" si="46"/>
        <v>-1.8132470588235285E-2</v>
      </c>
      <c r="BY19" s="392">
        <f t="shared" si="47"/>
        <v>-7.9397911559420303E-2</v>
      </c>
      <c r="BZ19" s="278"/>
      <c r="CB19" s="279">
        <f t="shared" si="16"/>
        <v>-0.29370885953033654</v>
      </c>
      <c r="CC19" s="64">
        <f t="shared" si="17"/>
        <v>-0.3001401867105582</v>
      </c>
      <c r="CD19" s="64">
        <f t="shared" si="18"/>
        <v>-0.30657151389077991</v>
      </c>
      <c r="CE19" s="64">
        <f t="shared" si="19"/>
        <v>-0.31982232511396835</v>
      </c>
      <c r="CF19" s="64">
        <f t="shared" si="20"/>
        <v>-0.33307313633715679</v>
      </c>
      <c r="CG19" s="64">
        <f t="shared" si="21"/>
        <v>-0.34632394756034524</v>
      </c>
      <c r="CH19" s="64">
        <f t="shared" si="22"/>
        <v>-0.35957475878353368</v>
      </c>
      <c r="CI19">
        <v>2029</v>
      </c>
      <c r="CJ19" s="240"/>
      <c r="CL19">
        <v>2029</v>
      </c>
      <c r="CM19" s="3">
        <f t="shared" si="48"/>
        <v>0.95</v>
      </c>
      <c r="CN19" s="64">
        <f t="shared" si="23"/>
        <v>0.94135999999999997</v>
      </c>
      <c r="CO19" s="64">
        <f t="shared" si="23"/>
        <v>0.93960999999999995</v>
      </c>
      <c r="CP19" s="64">
        <f t="shared" si="23"/>
        <v>0.93528307692307688</v>
      </c>
      <c r="CQ19" s="64">
        <f t="shared" si="23"/>
        <v>0.8947830769230769</v>
      </c>
      <c r="CR19" s="64">
        <f t="shared" si="24"/>
        <v>0.87967358787198202</v>
      </c>
      <c r="CS19" s="64">
        <f t="shared" si="24"/>
        <v>0.84835971925884335</v>
      </c>
      <c r="CT19" s="64">
        <f t="shared" si="24"/>
        <v>0.70120643458731058</v>
      </c>
      <c r="CU19" s="64">
        <f t="shared" si="25"/>
        <v>0.65629114046966353</v>
      </c>
      <c r="CV19" s="64">
        <f t="shared" si="25"/>
        <v>0.65978455223436938</v>
      </c>
      <c r="CW19" s="65">
        <f t="shared" si="49"/>
        <v>0.64985981328944187</v>
      </c>
      <c r="CX19" s="64">
        <f t="shared" si="50"/>
        <v>0.66327796399907524</v>
      </c>
      <c r="CY19" s="65">
        <f t="shared" si="51"/>
        <v>0.64342848610922021</v>
      </c>
      <c r="CZ19" s="64">
        <f t="shared" si="52"/>
        <v>0.66987663066574188</v>
      </c>
      <c r="DA19" s="65">
        <f t="shared" si="53"/>
        <v>0.63017767488603171</v>
      </c>
      <c r="DB19" s="64">
        <f t="shared" si="54"/>
        <v>0.67647529733240852</v>
      </c>
      <c r="DC19" s="65">
        <f t="shared" si="55"/>
        <v>0.61692686366284333</v>
      </c>
      <c r="DD19" s="64">
        <f t="shared" si="56"/>
        <v>0.68307396399907516</v>
      </c>
      <c r="DE19" s="65">
        <f t="shared" si="57"/>
        <v>0.60367605243965494</v>
      </c>
      <c r="DF19" s="64">
        <f t="shared" si="58"/>
        <v>0.6896726306657418</v>
      </c>
      <c r="DG19" s="65">
        <f t="shared" si="59"/>
        <v>0.59042524121646656</v>
      </c>
      <c r="DL19">
        <v>2029</v>
      </c>
      <c r="DM19" s="64">
        <f t="shared" si="60"/>
        <v>0.59042524121646656</v>
      </c>
      <c r="DN19" s="64">
        <f t="shared" si="61"/>
        <v>0.60367605243965494</v>
      </c>
      <c r="DO19" s="64">
        <f t="shared" si="62"/>
        <v>0.61692686366284333</v>
      </c>
      <c r="DP19" s="64">
        <f t="shared" si="63"/>
        <v>0.63017767488603171</v>
      </c>
      <c r="DQ19" s="64">
        <f t="shared" si="64"/>
        <v>0.64342848610922021</v>
      </c>
      <c r="DR19" s="64">
        <f t="shared" si="65"/>
        <v>0.64985981328944187</v>
      </c>
      <c r="DS19" s="64">
        <f t="shared" si="26"/>
        <v>0.65629114046966353</v>
      </c>
      <c r="DT19" s="64">
        <f t="shared" si="27"/>
        <v>0.70120643458731058</v>
      </c>
      <c r="DU19" s="64">
        <f t="shared" si="28"/>
        <v>0.84835971925884335</v>
      </c>
      <c r="DV19" s="64">
        <f t="shared" si="29"/>
        <v>0.87967358787198202</v>
      </c>
      <c r="DW19" s="64">
        <f t="shared" si="30"/>
        <v>0.8947830769230769</v>
      </c>
      <c r="DX19" s="64">
        <f t="shared" si="31"/>
        <v>0.93528307692307688</v>
      </c>
      <c r="DY19" s="64">
        <f t="shared" si="32"/>
        <v>0.93960999999999995</v>
      </c>
      <c r="DZ19" s="64">
        <f t="shared" si="33"/>
        <v>0.94135999999999997</v>
      </c>
      <c r="EA19" s="3">
        <f t="shared" si="66"/>
        <v>0.95</v>
      </c>
      <c r="EB19">
        <v>2029</v>
      </c>
      <c r="EC19" s="269">
        <f t="shared" si="67"/>
        <v>0.59042524121646656</v>
      </c>
      <c r="ED19" s="269">
        <f t="shared" si="68"/>
        <v>0.05</v>
      </c>
      <c r="EE19" s="64">
        <f t="shared" si="34"/>
        <v>1.3250811223188386E-2</v>
      </c>
      <c r="EF19" s="64">
        <f t="shared" si="34"/>
        <v>1.3250811223188386E-2</v>
      </c>
      <c r="EG19" s="64">
        <f t="shared" si="34"/>
        <v>1.3250811223188386E-2</v>
      </c>
      <c r="EH19" s="64">
        <f t="shared" si="34"/>
        <v>1.3250811223188497E-2</v>
      </c>
      <c r="EI19" s="64">
        <f t="shared" si="34"/>
        <v>6.4313271802216576E-3</v>
      </c>
      <c r="EJ19" s="64">
        <f t="shared" si="34"/>
        <v>6.4313271802216576E-3</v>
      </c>
      <c r="EK19" s="64">
        <f t="shared" si="34"/>
        <v>4.4915294117647053E-2</v>
      </c>
      <c r="EL19" s="64">
        <f t="shared" si="34"/>
        <v>0.14715328467153277</v>
      </c>
      <c r="EM19" s="64">
        <f t="shared" si="34"/>
        <v>3.1313868613138673E-2</v>
      </c>
      <c r="EN19" s="64">
        <f t="shared" si="34"/>
        <v>1.5109489051094882E-2</v>
      </c>
      <c r="EO19" s="64">
        <f t="shared" si="34"/>
        <v>4.049999999999998E-2</v>
      </c>
      <c r="EP19" s="64">
        <f t="shared" si="34"/>
        <v>4.3269230769230616E-3</v>
      </c>
      <c r="EQ19" s="64">
        <f t="shared" si="34"/>
        <v>1.7500000000000293E-3</v>
      </c>
      <c r="ER19" s="64">
        <f t="shared" si="34"/>
        <v>8.639999999999981E-3</v>
      </c>
      <c r="EX19" s="89">
        <v>2029</v>
      </c>
      <c r="EY19" s="278">
        <f t="shared" si="69"/>
        <v>0.98</v>
      </c>
      <c r="EZ19" s="278"/>
      <c r="FA19" s="278">
        <f t="shared" si="70"/>
        <v>0.60963799845296052</v>
      </c>
      <c r="FB19" s="278">
        <f t="shared" si="35"/>
        <v>0.05</v>
      </c>
      <c r="FC19" s="64">
        <f t="shared" si="71"/>
        <v>0.10222481113275363</v>
      </c>
      <c r="FD19" s="64">
        <f t="shared" si="72"/>
        <v>1.187981803921568E-2</v>
      </c>
      <c r="FE19" s="64">
        <f t="shared" si="73"/>
        <v>0.15156788321167874</v>
      </c>
      <c r="FF19" s="64">
        <f t="shared" si="74"/>
        <v>3.2253284671532836E-2</v>
      </c>
      <c r="FG19" s="64">
        <f t="shared" si="75"/>
        <v>1.5562773722627729E-2</v>
      </c>
      <c r="FH19" s="64">
        <f t="shared" si="76"/>
        <v>4.1714999999999981E-2</v>
      </c>
      <c r="FI19" s="64">
        <f t="shared" si="77"/>
        <v>4.4567307692307536E-3</v>
      </c>
      <c r="FJ19" s="64">
        <f t="shared" si="78"/>
        <v>1.8025000000000302E-3</v>
      </c>
      <c r="FK19" s="280">
        <f t="shared" si="79"/>
        <v>8.8991999999999804E-3</v>
      </c>
      <c r="FL19" s="64"/>
      <c r="FM19" s="89">
        <v>2029</v>
      </c>
      <c r="FN19" s="278">
        <f t="shared" si="80"/>
        <v>0.98</v>
      </c>
      <c r="FP19" s="278">
        <f t="shared" si="81"/>
        <v>0.62328633401284472</v>
      </c>
      <c r="FQ19" s="278">
        <f t="shared" si="82"/>
        <v>0.05</v>
      </c>
      <c r="FR19" s="64">
        <f t="shared" si="83"/>
        <v>8.177984890620292E-2</v>
      </c>
      <c r="FS19" s="64">
        <f t="shared" si="84"/>
        <v>1.8676444705882343E-2</v>
      </c>
      <c r="FT19" s="64">
        <f t="shared" si="85"/>
        <v>0.15156788321167874</v>
      </c>
      <c r="FU19" s="64">
        <f t="shared" si="86"/>
        <v>3.2253284671532836E-2</v>
      </c>
      <c r="FV19" s="64">
        <f t="shared" si="87"/>
        <v>1.5562773722627729E-2</v>
      </c>
      <c r="FW19" s="64">
        <f t="shared" si="88"/>
        <v>4.1714999999999981E-2</v>
      </c>
      <c r="FX19" s="64">
        <f t="shared" si="89"/>
        <v>4.4567307692307536E-3</v>
      </c>
      <c r="FY19" s="64">
        <f t="shared" si="90"/>
        <v>1.8025000000000302E-3</v>
      </c>
      <c r="FZ19" s="280">
        <f t="shared" si="91"/>
        <v>8.8991999999999804E-3</v>
      </c>
      <c r="GA19" s="64"/>
      <c r="GB19" s="89">
        <v>2029</v>
      </c>
      <c r="GC19" s="278">
        <f t="shared" si="92"/>
        <v>0.98</v>
      </c>
      <c r="GE19" s="278">
        <f t="shared" si="93"/>
        <v>0.63693466957272871</v>
      </c>
      <c r="GF19" s="278">
        <f t="shared" si="94"/>
        <v>0.05</v>
      </c>
      <c r="GG19" s="64">
        <f t="shared" si="95"/>
        <v>6.133488667965218E-2</v>
      </c>
      <c r="GH19" s="64">
        <f t="shared" si="96"/>
        <v>2.5473071372549005E-2</v>
      </c>
      <c r="GI19" s="64">
        <f t="shared" si="97"/>
        <v>0.15156788321167874</v>
      </c>
      <c r="GJ19" s="64">
        <f t="shared" si="98"/>
        <v>3.2253284671532836E-2</v>
      </c>
      <c r="GK19" s="64">
        <f t="shared" si="99"/>
        <v>1.5562773722627729E-2</v>
      </c>
      <c r="GL19" s="64">
        <f t="shared" si="100"/>
        <v>4.1714999999999981E-2</v>
      </c>
      <c r="GM19" s="64">
        <f t="shared" si="101"/>
        <v>4.4567307692307536E-3</v>
      </c>
      <c r="GN19" s="64">
        <f t="shared" si="102"/>
        <v>1.8025000000000302E-3</v>
      </c>
      <c r="GO19" s="280">
        <f t="shared" si="103"/>
        <v>8.8991999999999804E-3</v>
      </c>
      <c r="GP19" s="64"/>
      <c r="GQ19" s="89">
        <v>2029</v>
      </c>
      <c r="GR19" s="278">
        <f t="shared" si="104"/>
        <v>0.98</v>
      </c>
      <c r="GT19" s="278">
        <f t="shared" si="105"/>
        <v>0.65058300513261269</v>
      </c>
      <c r="GU19" s="278">
        <f t="shared" si="106"/>
        <v>0.05</v>
      </c>
      <c r="GV19" s="64">
        <f t="shared" si="107"/>
        <v>4.0889924453101467E-2</v>
      </c>
      <c r="GW19" s="64">
        <f t="shared" si="108"/>
        <v>3.2269698039215672E-2</v>
      </c>
      <c r="GX19" s="64">
        <f t="shared" si="109"/>
        <v>0.15156788321167874</v>
      </c>
      <c r="GY19" s="64">
        <f t="shared" si="110"/>
        <v>3.2253284671532836E-2</v>
      </c>
      <c r="GZ19" s="64">
        <f t="shared" si="111"/>
        <v>1.5562773722627729E-2</v>
      </c>
      <c r="HA19" s="64">
        <f t="shared" si="112"/>
        <v>4.1714999999999981E-2</v>
      </c>
      <c r="HB19" s="64">
        <f t="shared" si="113"/>
        <v>4.4567307692307536E-3</v>
      </c>
      <c r="HC19" s="64">
        <f t="shared" si="114"/>
        <v>1.8025000000000302E-3</v>
      </c>
      <c r="HD19" s="280">
        <f t="shared" si="115"/>
        <v>8.8991999999999804E-3</v>
      </c>
      <c r="HE19" s="64"/>
      <c r="HF19" s="89">
        <v>2029</v>
      </c>
      <c r="HG19" s="278">
        <f t="shared" si="116"/>
        <v>0.98</v>
      </c>
      <c r="HI19" s="278">
        <f t="shared" si="117"/>
        <v>0.6642313406924969</v>
      </c>
      <c r="HJ19" s="278">
        <f t="shared" si="118"/>
        <v>0.05</v>
      </c>
      <c r="HK19" s="64">
        <f t="shared" si="119"/>
        <v>2.0444962226550727E-2</v>
      </c>
      <c r="HL19" s="64">
        <f t="shared" si="120"/>
        <v>3.9066324705882331E-2</v>
      </c>
      <c r="HM19" s="64">
        <f t="shared" si="121"/>
        <v>0.15156788321167874</v>
      </c>
      <c r="HN19" s="64">
        <f t="shared" si="122"/>
        <v>3.2253284671532836E-2</v>
      </c>
      <c r="HO19" s="64">
        <f t="shared" si="123"/>
        <v>1.5562773722627729E-2</v>
      </c>
      <c r="HP19" s="64">
        <f t="shared" si="124"/>
        <v>4.1714999999999981E-2</v>
      </c>
      <c r="HQ19" s="64">
        <f t="shared" si="125"/>
        <v>4.4567307692307536E-3</v>
      </c>
      <c r="HR19" s="64">
        <f t="shared" si="126"/>
        <v>1.8025000000000302E-3</v>
      </c>
      <c r="HS19" s="280">
        <f t="shared" si="127"/>
        <v>8.8991999999999804E-3</v>
      </c>
      <c r="HT19" s="64"/>
      <c r="HU19" s="89">
        <v>2029</v>
      </c>
      <c r="HV19" s="278">
        <f t="shared" si="128"/>
        <v>0.98</v>
      </c>
      <c r="HX19" s="278">
        <f t="shared" si="129"/>
        <v>0.67085560768812513</v>
      </c>
      <c r="HY19" s="278">
        <f t="shared" si="130"/>
        <v>0.05</v>
      </c>
      <c r="HZ19" s="64">
        <f t="shared" si="131"/>
        <v>1.0222481113275353E-2</v>
      </c>
      <c r="IA19" s="64">
        <f t="shared" si="132"/>
        <v>4.2664538823529392E-2</v>
      </c>
      <c r="IB19" s="64">
        <f t="shared" si="133"/>
        <v>0.15156788321167874</v>
      </c>
      <c r="IC19" s="64">
        <f t="shared" si="134"/>
        <v>3.2253284671532836E-2</v>
      </c>
      <c r="ID19" s="64">
        <f t="shared" si="135"/>
        <v>1.5562773722627729E-2</v>
      </c>
      <c r="IE19" s="64">
        <f t="shared" si="136"/>
        <v>4.1714999999999981E-2</v>
      </c>
      <c r="IF19" s="64">
        <f t="shared" si="137"/>
        <v>4.4567307692307536E-3</v>
      </c>
      <c r="IG19" s="64">
        <f t="shared" si="138"/>
        <v>1.8025000000000302E-3</v>
      </c>
      <c r="IH19" s="280">
        <f t="shared" si="139"/>
        <v>8.8991999999999804E-3</v>
      </c>
      <c r="II19" s="64"/>
      <c r="IJ19" s="89">
        <v>2029</v>
      </c>
      <c r="IK19" s="278">
        <f t="shared" si="140"/>
        <v>0.98</v>
      </c>
      <c r="IM19" s="278">
        <f t="shared" si="141"/>
        <v>0.67747987468375337</v>
      </c>
      <c r="IN19" s="278">
        <f t="shared" si="142"/>
        <v>0.05</v>
      </c>
      <c r="IO19" s="64">
        <v>0</v>
      </c>
      <c r="IP19" s="64">
        <f t="shared" si="143"/>
        <v>4.6262752941176453E-2</v>
      </c>
      <c r="IQ19" s="64">
        <f t="shared" si="144"/>
        <v>0.15156788321167874</v>
      </c>
      <c r="IR19" s="64">
        <f t="shared" si="145"/>
        <v>3.2253284671532836E-2</v>
      </c>
      <c r="IS19" s="64">
        <f t="shared" si="146"/>
        <v>1.5562773722627729E-2</v>
      </c>
      <c r="IT19" s="64">
        <f t="shared" si="147"/>
        <v>4.1714999999999981E-2</v>
      </c>
      <c r="IU19" s="64">
        <f t="shared" si="148"/>
        <v>4.4567307692307536E-3</v>
      </c>
      <c r="IV19" s="64">
        <f t="shared" si="149"/>
        <v>1.8025000000000302E-3</v>
      </c>
      <c r="IW19" s="280">
        <f t="shared" si="150"/>
        <v>8.8991999999999804E-3</v>
      </c>
      <c r="IX19" s="3">
        <f t="shared" si="151"/>
        <v>0.5</v>
      </c>
      <c r="IY19">
        <f t="shared" si="36"/>
        <v>2029</v>
      </c>
      <c r="IZ19" s="3">
        <f t="shared" si="152"/>
        <v>8.1610033355517384</v>
      </c>
      <c r="JA19" s="353">
        <f>HLOOKUP($JG$3,'Timing calculations'!JH$8:JT$39,12,FALSE)</f>
        <v>8.3806871619439569</v>
      </c>
      <c r="JB19" s="3">
        <f t="shared" si="153"/>
        <v>9.65</v>
      </c>
      <c r="JC19" s="353">
        <f t="shared" si="154"/>
        <v>10.157894736842106</v>
      </c>
      <c r="JD19" s="418">
        <f t="shared" si="37"/>
        <v>0.49999999999999961</v>
      </c>
      <c r="JE19" s="368">
        <f t="shared" si="155"/>
        <v>7.2499999999999982</v>
      </c>
      <c r="JF19" s="369">
        <f t="shared" si="156"/>
        <v>7.6315789473684195</v>
      </c>
      <c r="JG19" s="363">
        <f t="shared" si="157"/>
        <v>7.9114179570643035</v>
      </c>
      <c r="JH19" s="362">
        <f t="shared" si="38"/>
        <v>8.3278083758571615</v>
      </c>
      <c r="JI19" s="366">
        <f t="shared" si="39"/>
        <v>7.9616528038467589</v>
      </c>
      <c r="JJ19" s="367">
        <f t="shared" si="9"/>
        <v>8.3806871619439569</v>
      </c>
      <c r="JK19" s="363">
        <f t="shared" si="40"/>
        <v>8.0118876506292125</v>
      </c>
      <c r="JL19" s="362">
        <f t="shared" si="41"/>
        <v>8.4335659480307505</v>
      </c>
      <c r="JM19" s="366">
        <f t="shared" si="158"/>
        <v>8.0621224974116679</v>
      </c>
      <c r="JN19" s="367">
        <f t="shared" si="42"/>
        <v>8.486444734117546</v>
      </c>
      <c r="JO19" s="363">
        <f t="shared" si="159"/>
        <v>8.1123573441941215</v>
      </c>
      <c r="JP19" s="362">
        <f t="shared" si="43"/>
        <v>8.5393235202043396</v>
      </c>
      <c r="JQ19" s="366">
        <f t="shared" si="160"/>
        <v>8.1366803398729299</v>
      </c>
      <c r="JR19" s="367">
        <f t="shared" si="44"/>
        <v>8.5649266735504526</v>
      </c>
      <c r="JS19" s="363">
        <f t="shared" si="161"/>
        <v>8.1610033355517384</v>
      </c>
      <c r="JT19" s="362">
        <f t="shared" si="45"/>
        <v>8.5905298268965673</v>
      </c>
    </row>
    <row r="20" spans="1:282">
      <c r="A20" s="247"/>
      <c r="B20" s="247"/>
      <c r="C20" s="247"/>
      <c r="D20" s="247"/>
      <c r="E20" s="247"/>
      <c r="F20" s="247"/>
      <c r="H20" s="300"/>
      <c r="J20" s="301"/>
      <c r="AO20" s="89">
        <v>2030</v>
      </c>
      <c r="AP20" s="170">
        <f t="shared" si="162"/>
        <v>-9.6000000000000009E-3</v>
      </c>
      <c r="AQ20" s="170">
        <f t="shared" si="162"/>
        <v>-2.0000000000000005E-3</v>
      </c>
      <c r="AR20" s="170">
        <f t="shared" si="162"/>
        <v>-5.1923076923076914E-3</v>
      </c>
      <c r="AS20" s="170">
        <f t="shared" si="162"/>
        <v>-4.5000000000000012E-2</v>
      </c>
      <c r="AU20" s="170">
        <f t="shared" si="163"/>
        <v>-1.6788321167883216E-2</v>
      </c>
      <c r="AV20" s="170">
        <f t="shared" si="163"/>
        <v>-3.4793187347931874E-2</v>
      </c>
      <c r="AW20" s="170">
        <f t="shared" si="163"/>
        <v>-0.16350364963503647</v>
      </c>
      <c r="AY20" s="170">
        <f t="shared" si="164"/>
        <v>-4.9905882352941154E-2</v>
      </c>
      <c r="AZ20" s="278">
        <f t="shared" si="165"/>
        <v>3.9924705882352926E-3</v>
      </c>
      <c r="BA20" s="284">
        <f t="shared" si="166"/>
        <v>-2.615285217391302E-2</v>
      </c>
      <c r="BB20" s="276">
        <f t="shared" si="167"/>
        <v>-1.7242111072463758E-2</v>
      </c>
      <c r="BC20" s="277">
        <f t="shared" si="10"/>
        <v>-1.1623489855072453E-2</v>
      </c>
      <c r="BD20" s="278">
        <f t="shared" si="168"/>
        <v>3.9924705882352926E-3</v>
      </c>
      <c r="BE20" s="284">
        <f t="shared" si="169"/>
        <v>-2.6152852173913062E-2</v>
      </c>
      <c r="BF20" s="276">
        <f t="shared" si="170"/>
        <v>-1.7242111072463758E-2</v>
      </c>
      <c r="BG20" s="277">
        <f t="shared" si="11"/>
        <v>-1.1623489855072472E-2</v>
      </c>
      <c r="BH20" s="278">
        <f t="shared" si="171"/>
        <v>7.5413333333333304E-3</v>
      </c>
      <c r="BI20" s="284">
        <f t="shared" si="172"/>
        <v>-5.230570434782611E-2</v>
      </c>
      <c r="BJ20" s="276">
        <f t="shared" si="173"/>
        <v>-3.4484222144927572E-2</v>
      </c>
      <c r="BK20" s="277">
        <f t="shared" si="12"/>
        <v>-2.324697971014494E-2</v>
      </c>
      <c r="BL20" s="278">
        <f t="shared" si="174"/>
        <v>7.5413333333333304E-3</v>
      </c>
      <c r="BM20" s="284">
        <f t="shared" si="175"/>
        <v>-5.2305704347826068E-2</v>
      </c>
      <c r="BN20" s="276">
        <f t="shared" si="176"/>
        <v>-3.4484222144927502E-2</v>
      </c>
      <c r="BO20" s="277">
        <f t="shared" si="13"/>
        <v>-2.3246979710144916E-2</v>
      </c>
      <c r="BP20" s="278">
        <f t="shared" si="177"/>
        <v>7.5413333333333304E-3</v>
      </c>
      <c r="BQ20" s="284">
        <f t="shared" si="178"/>
        <v>-5.2305704347826124E-2</v>
      </c>
      <c r="BR20" s="276">
        <f t="shared" si="179"/>
        <v>-3.4484222144927551E-2</v>
      </c>
      <c r="BS20" s="277">
        <f t="shared" si="14"/>
        <v>-2.324697971014494E-2</v>
      </c>
      <c r="BT20" s="278">
        <f t="shared" si="180"/>
        <v>7.5413333333333304E-3</v>
      </c>
      <c r="BU20" s="284">
        <f t="shared" si="181"/>
        <v>-5.2305704347826068E-2</v>
      </c>
      <c r="BV20" s="276">
        <f t="shared" si="182"/>
        <v>-3.448422214492753E-2</v>
      </c>
      <c r="BW20" s="278">
        <f t="shared" si="15"/>
        <v>-2.324697971014492E-2</v>
      </c>
      <c r="BX20" s="391">
        <f t="shared" si="46"/>
        <v>-1.9296941176470579E-2</v>
      </c>
      <c r="BY20" s="392">
        <f t="shared" si="47"/>
        <v>-9.298791884057972E-2</v>
      </c>
      <c r="BZ20" s="278"/>
      <c r="CB20" s="279">
        <f t="shared" si="16"/>
        <v>-0.32678334819610039</v>
      </c>
      <c r="CC20" s="64">
        <f t="shared" si="17"/>
        <v>-0.33441436746293751</v>
      </c>
      <c r="CD20" s="64">
        <f t="shared" si="18"/>
        <v>-0.34204538672977469</v>
      </c>
      <c r="CE20" s="64">
        <f t="shared" si="19"/>
        <v>-0.35775103310658629</v>
      </c>
      <c r="CF20" s="64">
        <f t="shared" si="20"/>
        <v>-0.37345667948339789</v>
      </c>
      <c r="CG20" s="64">
        <f t="shared" si="21"/>
        <v>-0.38916232586020949</v>
      </c>
      <c r="CH20" s="64">
        <f t="shared" si="22"/>
        <v>-0.40486797223702109</v>
      </c>
      <c r="CI20">
        <v>2030</v>
      </c>
      <c r="CJ20" s="240"/>
      <c r="CL20">
        <v>2030</v>
      </c>
      <c r="CM20" s="3">
        <f t="shared" si="48"/>
        <v>0.95</v>
      </c>
      <c r="CN20" s="64">
        <f t="shared" si="23"/>
        <v>0.9403999999999999</v>
      </c>
      <c r="CO20" s="64">
        <f t="shared" si="23"/>
        <v>0.9383999999999999</v>
      </c>
      <c r="CP20" s="64">
        <f t="shared" si="23"/>
        <v>0.93320769230769218</v>
      </c>
      <c r="CQ20" s="64">
        <f t="shared" si="23"/>
        <v>0.88820769230769214</v>
      </c>
      <c r="CR20" s="64">
        <f t="shared" si="24"/>
        <v>0.87141937113980894</v>
      </c>
      <c r="CS20" s="64">
        <f t="shared" si="24"/>
        <v>0.83662618379187703</v>
      </c>
      <c r="CT20" s="64">
        <f t="shared" si="24"/>
        <v>0.67312253415684054</v>
      </c>
      <c r="CU20" s="64">
        <f t="shared" si="25"/>
        <v>0.6232166518038994</v>
      </c>
      <c r="CV20" s="64">
        <f t="shared" si="25"/>
        <v>0.62720912239213467</v>
      </c>
      <c r="CW20" s="65">
        <f t="shared" si="49"/>
        <v>0.61558563253706222</v>
      </c>
      <c r="CX20" s="64">
        <f t="shared" si="50"/>
        <v>0.63120159298036993</v>
      </c>
      <c r="CY20" s="65">
        <f t="shared" si="51"/>
        <v>0.60795461327022504</v>
      </c>
      <c r="CZ20" s="64">
        <f t="shared" si="52"/>
        <v>0.63874292631370322</v>
      </c>
      <c r="DA20" s="65">
        <f t="shared" si="53"/>
        <v>0.59224896689341344</v>
      </c>
      <c r="DB20" s="64">
        <f t="shared" si="54"/>
        <v>0.64628425964703651</v>
      </c>
      <c r="DC20" s="65">
        <f t="shared" si="55"/>
        <v>0.57654332051660184</v>
      </c>
      <c r="DD20" s="64">
        <f t="shared" si="56"/>
        <v>0.6538255929803698</v>
      </c>
      <c r="DE20" s="65">
        <f t="shared" si="57"/>
        <v>0.56083767413979024</v>
      </c>
      <c r="DF20" s="64">
        <f t="shared" si="58"/>
        <v>0.66136692631370309</v>
      </c>
      <c r="DG20" s="65">
        <f t="shared" si="59"/>
        <v>0.54513202776297864</v>
      </c>
      <c r="DL20">
        <v>2030</v>
      </c>
      <c r="DM20" s="64">
        <f t="shared" si="60"/>
        <v>0.54513202776297864</v>
      </c>
      <c r="DN20" s="64">
        <f t="shared" si="61"/>
        <v>0.56083767413979024</v>
      </c>
      <c r="DO20" s="64">
        <f t="shared" si="62"/>
        <v>0.57654332051660184</v>
      </c>
      <c r="DP20" s="64">
        <f t="shared" si="63"/>
        <v>0.59224896689341344</v>
      </c>
      <c r="DQ20" s="64">
        <f t="shared" si="64"/>
        <v>0.60795461327022504</v>
      </c>
      <c r="DR20" s="64">
        <f t="shared" si="65"/>
        <v>0.61558563253706222</v>
      </c>
      <c r="DS20" s="64">
        <f t="shared" si="26"/>
        <v>0.6232166518038994</v>
      </c>
      <c r="DT20" s="64">
        <f t="shared" si="27"/>
        <v>0.67312253415684054</v>
      </c>
      <c r="DU20" s="64">
        <f t="shared" si="28"/>
        <v>0.83662618379187703</v>
      </c>
      <c r="DV20" s="64">
        <f t="shared" si="29"/>
        <v>0.87141937113980894</v>
      </c>
      <c r="DW20" s="64">
        <f t="shared" si="30"/>
        <v>0.88820769230769214</v>
      </c>
      <c r="DX20" s="64">
        <f t="shared" si="31"/>
        <v>0.93320769230769218</v>
      </c>
      <c r="DY20" s="64">
        <f t="shared" si="32"/>
        <v>0.9383999999999999</v>
      </c>
      <c r="DZ20" s="64">
        <f t="shared" si="33"/>
        <v>0.9403999999999999</v>
      </c>
      <c r="EA20" s="3">
        <f t="shared" si="66"/>
        <v>0.95</v>
      </c>
      <c r="EB20">
        <v>2030</v>
      </c>
      <c r="EC20" s="269">
        <f t="shared" si="67"/>
        <v>0.54513202776297875</v>
      </c>
      <c r="ED20" s="269">
        <f t="shared" si="68"/>
        <v>0.05</v>
      </c>
      <c r="EE20" s="64">
        <f t="shared" si="34"/>
        <v>1.5705646376811599E-2</v>
      </c>
      <c r="EF20" s="64">
        <f t="shared" si="34"/>
        <v>1.5705646376811599E-2</v>
      </c>
      <c r="EG20" s="64">
        <f t="shared" si="34"/>
        <v>1.5705646376811599E-2</v>
      </c>
      <c r="EH20" s="64">
        <f t="shared" si="34"/>
        <v>1.5705646376811599E-2</v>
      </c>
      <c r="EI20" s="64">
        <f t="shared" si="34"/>
        <v>7.6310192668371801E-3</v>
      </c>
      <c r="EJ20" s="64">
        <f t="shared" si="34"/>
        <v>7.6310192668371801E-3</v>
      </c>
      <c r="EK20" s="64">
        <f t="shared" si="34"/>
        <v>4.9905882352941133E-2</v>
      </c>
      <c r="EL20" s="64">
        <f t="shared" si="34"/>
        <v>0.1635036496350365</v>
      </c>
      <c r="EM20" s="64">
        <f t="shared" si="34"/>
        <v>3.4793187347931909E-2</v>
      </c>
      <c r="EN20" s="64">
        <f t="shared" si="34"/>
        <v>1.6788321167883202E-2</v>
      </c>
      <c r="EO20" s="64">
        <f t="shared" si="34"/>
        <v>4.500000000000004E-2</v>
      </c>
      <c r="EP20" s="64">
        <f t="shared" si="34"/>
        <v>5.1923076923077183E-3</v>
      </c>
      <c r="EQ20" s="64">
        <f t="shared" si="34"/>
        <v>2.0000000000000018E-3</v>
      </c>
      <c r="ER20" s="64">
        <f t="shared" si="34"/>
        <v>9.6000000000000529E-3</v>
      </c>
      <c r="EX20" s="89">
        <v>2030</v>
      </c>
      <c r="EY20" s="278">
        <f t="shared" si="69"/>
        <v>0.98333333333333328</v>
      </c>
      <c r="EZ20" s="278"/>
      <c r="FA20" s="278">
        <f t="shared" si="70"/>
        <v>0.56496976202174454</v>
      </c>
      <c r="FB20" s="278">
        <f t="shared" si="35"/>
        <v>0.05</v>
      </c>
      <c r="FC20" s="64">
        <f t="shared" si="71"/>
        <v>0.12010939516908213</v>
      </c>
      <c r="FD20" s="64">
        <f t="shared" si="72"/>
        <v>1.2147461437908492E-2</v>
      </c>
      <c r="FE20" s="64">
        <f t="shared" si="73"/>
        <v>0.16895377128953773</v>
      </c>
      <c r="FF20" s="64">
        <f t="shared" si="74"/>
        <v>3.595296025952964E-2</v>
      </c>
      <c r="FG20" s="64">
        <f t="shared" si="75"/>
        <v>1.734793187347931E-2</v>
      </c>
      <c r="FH20" s="64">
        <f t="shared" si="76"/>
        <v>4.6500000000000048E-2</v>
      </c>
      <c r="FI20" s="64">
        <f t="shared" si="77"/>
        <v>5.3653846153846425E-3</v>
      </c>
      <c r="FJ20" s="64">
        <f t="shared" si="78"/>
        <v>2.0666666666666689E-3</v>
      </c>
      <c r="FK20" s="280">
        <f t="shared" si="79"/>
        <v>9.9200000000000555E-3</v>
      </c>
      <c r="FL20" s="64"/>
      <c r="FM20" s="89">
        <v>2030</v>
      </c>
      <c r="FN20" s="278">
        <f t="shared" si="80"/>
        <v>0.98333333333333328</v>
      </c>
      <c r="FP20" s="278">
        <f t="shared" si="81"/>
        <v>0.58119892994444988</v>
      </c>
      <c r="FQ20" s="278">
        <f t="shared" si="82"/>
        <v>0.05</v>
      </c>
      <c r="FR20" s="64">
        <f t="shared" si="83"/>
        <v>9.6087516135265713E-2</v>
      </c>
      <c r="FS20" s="64">
        <f t="shared" si="84"/>
        <v>1.99401725490196E-2</v>
      </c>
      <c r="FT20" s="64">
        <f t="shared" si="85"/>
        <v>0.16895377128953773</v>
      </c>
      <c r="FU20" s="64">
        <f t="shared" si="86"/>
        <v>3.595296025952964E-2</v>
      </c>
      <c r="FV20" s="64">
        <f t="shared" si="87"/>
        <v>1.734793187347931E-2</v>
      </c>
      <c r="FW20" s="64">
        <f t="shared" si="88"/>
        <v>4.6500000000000048E-2</v>
      </c>
      <c r="FX20" s="64">
        <f t="shared" si="89"/>
        <v>5.3653846153846425E-3</v>
      </c>
      <c r="FY20" s="64">
        <f t="shared" si="90"/>
        <v>2.0666666666666689E-3</v>
      </c>
      <c r="FZ20" s="280">
        <f t="shared" si="91"/>
        <v>9.9200000000000555E-3</v>
      </c>
      <c r="GA20" s="64"/>
      <c r="GB20" s="89">
        <v>2030</v>
      </c>
      <c r="GC20" s="278">
        <f t="shared" si="92"/>
        <v>0.98333333333333328</v>
      </c>
      <c r="GE20" s="278">
        <f t="shared" si="93"/>
        <v>0.59742809786715523</v>
      </c>
      <c r="GF20" s="278">
        <f t="shared" si="94"/>
        <v>0.05</v>
      </c>
      <c r="GG20" s="64">
        <f t="shared" si="95"/>
        <v>7.2065637101449281E-2</v>
      </c>
      <c r="GH20" s="64">
        <f t="shared" si="96"/>
        <v>2.773288366013071E-2</v>
      </c>
      <c r="GI20" s="64">
        <f t="shared" si="97"/>
        <v>0.16895377128953773</v>
      </c>
      <c r="GJ20" s="64">
        <f t="shared" si="98"/>
        <v>3.595296025952964E-2</v>
      </c>
      <c r="GK20" s="64">
        <f t="shared" si="99"/>
        <v>1.734793187347931E-2</v>
      </c>
      <c r="GL20" s="64">
        <f t="shared" si="100"/>
        <v>4.6500000000000048E-2</v>
      </c>
      <c r="GM20" s="64">
        <f t="shared" si="101"/>
        <v>5.3653846153846425E-3</v>
      </c>
      <c r="GN20" s="64">
        <f t="shared" si="102"/>
        <v>2.0666666666666689E-3</v>
      </c>
      <c r="GO20" s="280">
        <f t="shared" si="103"/>
        <v>9.9200000000000555E-3</v>
      </c>
      <c r="GP20" s="64"/>
      <c r="GQ20" s="89">
        <v>2030</v>
      </c>
      <c r="GR20" s="278">
        <f t="shared" si="104"/>
        <v>0.98333333333333328</v>
      </c>
      <c r="GT20" s="278">
        <f t="shared" si="105"/>
        <v>0.61365726578986057</v>
      </c>
      <c r="GU20" s="278">
        <f t="shared" si="106"/>
        <v>0.05</v>
      </c>
      <c r="GV20" s="64">
        <f t="shared" si="107"/>
        <v>4.8043758067632857E-2</v>
      </c>
      <c r="GW20" s="64">
        <f t="shared" si="108"/>
        <v>3.5525594771241821E-2</v>
      </c>
      <c r="GX20" s="64">
        <f t="shared" si="109"/>
        <v>0.16895377128953773</v>
      </c>
      <c r="GY20" s="64">
        <f t="shared" si="110"/>
        <v>3.595296025952964E-2</v>
      </c>
      <c r="GZ20" s="64">
        <f t="shared" si="111"/>
        <v>1.734793187347931E-2</v>
      </c>
      <c r="HA20" s="64">
        <f t="shared" si="112"/>
        <v>4.6500000000000048E-2</v>
      </c>
      <c r="HB20" s="64">
        <f t="shared" si="113"/>
        <v>5.3653846153846425E-3</v>
      </c>
      <c r="HC20" s="64">
        <f t="shared" si="114"/>
        <v>2.0666666666666689E-3</v>
      </c>
      <c r="HD20" s="280">
        <f t="shared" si="115"/>
        <v>9.9200000000000555E-3</v>
      </c>
      <c r="HE20" s="64"/>
      <c r="HF20" s="89">
        <v>2030</v>
      </c>
      <c r="HG20" s="278">
        <f t="shared" si="116"/>
        <v>0.98333333333333328</v>
      </c>
      <c r="HI20" s="278">
        <f t="shared" si="117"/>
        <v>0.62988643371256581</v>
      </c>
      <c r="HJ20" s="278">
        <f t="shared" si="118"/>
        <v>0.05</v>
      </c>
      <c r="HK20" s="64">
        <f t="shared" si="119"/>
        <v>2.4021879033816421E-2</v>
      </c>
      <c r="HL20" s="64">
        <f t="shared" si="120"/>
        <v>4.3318305882352928E-2</v>
      </c>
      <c r="HM20" s="64">
        <f t="shared" si="121"/>
        <v>0.16895377128953773</v>
      </c>
      <c r="HN20" s="64">
        <f t="shared" si="122"/>
        <v>3.595296025952964E-2</v>
      </c>
      <c r="HO20" s="64">
        <f t="shared" si="123"/>
        <v>1.734793187347931E-2</v>
      </c>
      <c r="HP20" s="64">
        <f t="shared" si="124"/>
        <v>4.6500000000000048E-2</v>
      </c>
      <c r="HQ20" s="64">
        <f t="shared" si="125"/>
        <v>5.3653846153846425E-3</v>
      </c>
      <c r="HR20" s="64">
        <f t="shared" si="126"/>
        <v>2.0666666666666689E-3</v>
      </c>
      <c r="HS20" s="280">
        <f t="shared" si="127"/>
        <v>9.9200000000000555E-3</v>
      </c>
      <c r="HT20" s="64"/>
      <c r="HU20" s="89">
        <v>2030</v>
      </c>
      <c r="HV20" s="278">
        <f t="shared" si="128"/>
        <v>0.98333333333333328</v>
      </c>
      <c r="HX20" s="278">
        <f t="shared" si="129"/>
        <v>0.6377718202882976</v>
      </c>
      <c r="HY20" s="278">
        <f t="shared" si="130"/>
        <v>0.05</v>
      </c>
      <c r="HZ20" s="64">
        <f t="shared" si="131"/>
        <v>1.2010939516908202E-2</v>
      </c>
      <c r="IA20" s="64">
        <f t="shared" si="132"/>
        <v>4.7443858823529396E-2</v>
      </c>
      <c r="IB20" s="64">
        <f t="shared" si="133"/>
        <v>0.16895377128953773</v>
      </c>
      <c r="IC20" s="64">
        <f t="shared" si="134"/>
        <v>3.595296025952964E-2</v>
      </c>
      <c r="ID20" s="64">
        <f t="shared" si="135"/>
        <v>1.734793187347931E-2</v>
      </c>
      <c r="IE20" s="64">
        <f t="shared" si="136"/>
        <v>4.6500000000000048E-2</v>
      </c>
      <c r="IF20" s="64">
        <f t="shared" si="137"/>
        <v>5.3653846153846425E-3</v>
      </c>
      <c r="IG20" s="64">
        <f t="shared" si="138"/>
        <v>2.0666666666666689E-3</v>
      </c>
      <c r="IH20" s="280">
        <f t="shared" si="139"/>
        <v>9.9200000000000555E-3</v>
      </c>
      <c r="II20" s="64"/>
      <c r="IJ20" s="89">
        <v>2030</v>
      </c>
      <c r="IK20" s="278">
        <f t="shared" si="140"/>
        <v>0.98333333333333328</v>
      </c>
      <c r="IM20" s="278">
        <f t="shared" si="141"/>
        <v>0.64565720686402928</v>
      </c>
      <c r="IN20" s="278">
        <f t="shared" si="142"/>
        <v>0.05</v>
      </c>
      <c r="IO20" s="64">
        <v>0</v>
      </c>
      <c r="IP20" s="64">
        <f t="shared" si="143"/>
        <v>5.1569411764705864E-2</v>
      </c>
      <c r="IQ20" s="64">
        <f t="shared" si="144"/>
        <v>0.16895377128953773</v>
      </c>
      <c r="IR20" s="64">
        <f t="shared" si="145"/>
        <v>3.595296025952964E-2</v>
      </c>
      <c r="IS20" s="64">
        <f t="shared" si="146"/>
        <v>1.734793187347931E-2</v>
      </c>
      <c r="IT20" s="64">
        <f t="shared" si="147"/>
        <v>4.6500000000000048E-2</v>
      </c>
      <c r="IU20" s="64">
        <f t="shared" si="148"/>
        <v>5.3653846153846425E-3</v>
      </c>
      <c r="IV20" s="64">
        <f t="shared" si="149"/>
        <v>2.0666666666666689E-3</v>
      </c>
      <c r="IW20" s="280">
        <f t="shared" si="150"/>
        <v>9.9200000000000555E-3</v>
      </c>
      <c r="IX20" s="3">
        <f t="shared" si="151"/>
        <v>0.44999999999999929</v>
      </c>
      <c r="IY20">
        <f t="shared" si="36"/>
        <v>2030</v>
      </c>
      <c r="IZ20" s="3">
        <f t="shared" si="152"/>
        <v>8.8066605424157682</v>
      </c>
      <c r="JA20" s="353">
        <f>HLOOKUP($JG$3,'Timing calculations'!JH$8:JT$39,13,FALSE)</f>
        <v>8.9924755092539037</v>
      </c>
      <c r="JB20" s="3">
        <f t="shared" si="153"/>
        <v>10.633333333333333</v>
      </c>
      <c r="JC20" s="353">
        <f t="shared" si="154"/>
        <v>11.192982456140351</v>
      </c>
      <c r="JD20" s="418">
        <f t="shared" si="37"/>
        <v>0.44999999999999962</v>
      </c>
      <c r="JE20" s="368">
        <f t="shared" si="155"/>
        <v>7.6999999999999975</v>
      </c>
      <c r="JF20" s="369">
        <f t="shared" si="156"/>
        <v>8.1052631578947345</v>
      </c>
      <c r="JG20" s="363">
        <f t="shared" si="157"/>
        <v>8.4763877190860484</v>
      </c>
      <c r="JH20" s="362">
        <f t="shared" si="38"/>
        <v>8.9225133885116303</v>
      </c>
      <c r="JI20" s="366">
        <f t="shared" si="39"/>
        <v>8.542851733791208</v>
      </c>
      <c r="JJ20" s="367">
        <f t="shared" si="9"/>
        <v>8.9924755092539037</v>
      </c>
      <c r="JK20" s="363">
        <f t="shared" si="40"/>
        <v>8.6093157484963676</v>
      </c>
      <c r="JL20" s="362">
        <f t="shared" si="41"/>
        <v>9.0624376299961771</v>
      </c>
      <c r="JM20" s="366">
        <f t="shared" si="158"/>
        <v>8.675779763201529</v>
      </c>
      <c r="JN20" s="367">
        <f t="shared" si="42"/>
        <v>9.1323997507384522</v>
      </c>
      <c r="JO20" s="363">
        <f t="shared" si="159"/>
        <v>8.7422437779066868</v>
      </c>
      <c r="JP20" s="362">
        <f t="shared" si="43"/>
        <v>9.2023618714807238</v>
      </c>
      <c r="JQ20" s="366">
        <f t="shared" si="160"/>
        <v>8.7744521601612284</v>
      </c>
      <c r="JR20" s="367">
        <f t="shared" si="44"/>
        <v>9.2362654317486612</v>
      </c>
      <c r="JS20" s="363">
        <f t="shared" si="161"/>
        <v>8.8066605424157682</v>
      </c>
      <c r="JT20" s="362">
        <f t="shared" si="45"/>
        <v>9.2701689920165986</v>
      </c>
    </row>
    <row r="21" spans="1:282">
      <c r="A21" s="689" t="s">
        <v>104</v>
      </c>
      <c r="B21" s="689"/>
      <c r="C21" s="689"/>
      <c r="D21" s="689"/>
      <c r="E21" s="689"/>
      <c r="F21" s="689"/>
      <c r="G21" s="122"/>
      <c r="H21" s="300"/>
      <c r="J21" s="301"/>
      <c r="AO21" s="89">
        <v>2031</v>
      </c>
      <c r="AP21" s="170">
        <f t="shared" si="162"/>
        <v>-1.0560000000000002E-2</v>
      </c>
      <c r="AQ21" s="170">
        <f t="shared" si="162"/>
        <v>-2.2500000000000007E-3</v>
      </c>
      <c r="AR21" s="170">
        <f t="shared" si="162"/>
        <v>-6.0576923076923065E-3</v>
      </c>
      <c r="AS21" s="170">
        <f t="shared" si="162"/>
        <v>-4.9500000000000016E-2</v>
      </c>
      <c r="AU21" s="170">
        <f t="shared" si="163"/>
        <v>-1.8467153284671536E-2</v>
      </c>
      <c r="AV21" s="170">
        <f t="shared" si="163"/>
        <v>-3.8272506082725061E-2</v>
      </c>
      <c r="AW21" s="170">
        <f t="shared" si="163"/>
        <v>-0.17985401459854011</v>
      </c>
      <c r="AY21" s="170">
        <f t="shared" si="164"/>
        <v>-5.4896470588235269E-2</v>
      </c>
      <c r="AZ21" s="278">
        <f t="shared" si="165"/>
        <v>4.4915294117647041E-3</v>
      </c>
      <c r="BA21" s="284">
        <f t="shared" si="166"/>
        <v>-2.6784947060869542E-2</v>
      </c>
      <c r="BB21" s="276">
        <f t="shared" si="167"/>
        <v>-1.9397374956521728E-2</v>
      </c>
      <c r="BC21" s="277">
        <f t="shared" si="10"/>
        <v>-1.3392473530434771E-2</v>
      </c>
      <c r="BD21" s="278">
        <f t="shared" si="168"/>
        <v>4.4915294117647041E-3</v>
      </c>
      <c r="BE21" s="284">
        <f t="shared" si="169"/>
        <v>-2.6784947060869584E-2</v>
      </c>
      <c r="BF21" s="276">
        <f t="shared" si="170"/>
        <v>-1.9397374956521728E-2</v>
      </c>
      <c r="BG21" s="277">
        <f t="shared" si="11"/>
        <v>-1.3392473530434792E-2</v>
      </c>
      <c r="BH21" s="278">
        <f t="shared" si="171"/>
        <v>8.4839999999999968E-3</v>
      </c>
      <c r="BI21" s="284">
        <f t="shared" si="172"/>
        <v>-5.3569894121739153E-2</v>
      </c>
      <c r="BJ21" s="276">
        <f t="shared" si="173"/>
        <v>-3.8794749913043519E-2</v>
      </c>
      <c r="BK21" s="277">
        <f t="shared" si="12"/>
        <v>-2.678494706086958E-2</v>
      </c>
      <c r="BL21" s="278">
        <f t="shared" si="174"/>
        <v>8.4839999999999968E-3</v>
      </c>
      <c r="BM21" s="284">
        <f t="shared" si="175"/>
        <v>-5.3569894121739112E-2</v>
      </c>
      <c r="BN21" s="276">
        <f t="shared" si="176"/>
        <v>-3.8794749913043443E-2</v>
      </c>
      <c r="BO21" s="277">
        <f t="shared" si="13"/>
        <v>-2.6784947060869559E-2</v>
      </c>
      <c r="BP21" s="278">
        <f t="shared" si="177"/>
        <v>8.4839999999999968E-3</v>
      </c>
      <c r="BQ21" s="284">
        <f t="shared" si="178"/>
        <v>-5.3569894121739167E-2</v>
      </c>
      <c r="BR21" s="276">
        <f t="shared" si="179"/>
        <v>-3.8794749913043491E-2</v>
      </c>
      <c r="BS21" s="277">
        <f t="shared" si="14"/>
        <v>-2.678494706086958E-2</v>
      </c>
      <c r="BT21" s="278">
        <f t="shared" si="180"/>
        <v>8.4839999999999968E-3</v>
      </c>
      <c r="BU21" s="284">
        <f t="shared" si="181"/>
        <v>-5.3569894121739112E-2</v>
      </c>
      <c r="BV21" s="276">
        <f t="shared" si="182"/>
        <v>-3.8794749913043471E-2</v>
      </c>
      <c r="BW21" s="278">
        <f t="shared" si="15"/>
        <v>-2.6784947060869556E-2</v>
      </c>
      <c r="BX21" s="391">
        <f t="shared" si="46"/>
        <v>-2.046141176470586E-2</v>
      </c>
      <c r="BY21" s="392">
        <f t="shared" si="47"/>
        <v>-0.10713978824347828</v>
      </c>
      <c r="BZ21" s="278"/>
      <c r="CB21" s="279">
        <f t="shared" ref="CB21:CB40" si="183">SUM(AP21:AY21)</f>
        <v>-0.35985783686186429</v>
      </c>
      <c r="CC21" s="64">
        <f t="shared" si="17"/>
        <v>-0.36875878098053433</v>
      </c>
      <c r="CD21" s="64">
        <f t="shared" si="18"/>
        <v>-0.37765972509920437</v>
      </c>
      <c r="CE21" s="64">
        <f t="shared" si="19"/>
        <v>-0.39596067216007397</v>
      </c>
      <c r="CF21" s="64">
        <f t="shared" si="20"/>
        <v>-0.41426161922094351</v>
      </c>
      <c r="CG21" s="64">
        <f t="shared" si="21"/>
        <v>-0.43256256628181311</v>
      </c>
      <c r="CH21" s="64">
        <f t="shared" si="22"/>
        <v>-0.45086351334268265</v>
      </c>
      <c r="CI21">
        <v>2031</v>
      </c>
      <c r="CJ21" s="240"/>
      <c r="CL21">
        <v>2031</v>
      </c>
      <c r="CM21" s="3">
        <f t="shared" si="48"/>
        <v>0.95</v>
      </c>
      <c r="CN21" s="64">
        <f t="shared" si="23"/>
        <v>0.93943999999999994</v>
      </c>
      <c r="CO21" s="64">
        <f t="shared" si="23"/>
        <v>0.93718999999999997</v>
      </c>
      <c r="CP21" s="64">
        <f t="shared" si="23"/>
        <v>0.9311323076923077</v>
      </c>
      <c r="CQ21" s="64">
        <f t="shared" si="23"/>
        <v>0.88163230769230772</v>
      </c>
      <c r="CR21" s="64">
        <f t="shared" si="24"/>
        <v>0.86316515440763619</v>
      </c>
      <c r="CS21" s="64">
        <f t="shared" si="24"/>
        <v>0.82489264832491116</v>
      </c>
      <c r="CT21" s="64">
        <f t="shared" si="24"/>
        <v>0.64503863372637105</v>
      </c>
      <c r="CU21" s="64">
        <f t="shared" si="25"/>
        <v>0.59014216313813583</v>
      </c>
      <c r="CV21" s="64">
        <f t="shared" si="25"/>
        <v>0.59463369254990051</v>
      </c>
      <c r="CW21" s="65">
        <f t="shared" si="49"/>
        <v>0.58124121901946568</v>
      </c>
      <c r="CX21" s="64">
        <f t="shared" si="50"/>
        <v>0.59912522196166518</v>
      </c>
      <c r="CY21" s="65">
        <f t="shared" si="51"/>
        <v>0.57234027490079553</v>
      </c>
      <c r="CZ21" s="64">
        <f t="shared" si="52"/>
        <v>0.60760922196166522</v>
      </c>
      <c r="DA21" s="65">
        <f t="shared" si="53"/>
        <v>0.55403932783992604</v>
      </c>
      <c r="DB21" s="64">
        <f t="shared" si="54"/>
        <v>0.61609322196166527</v>
      </c>
      <c r="DC21" s="65">
        <f t="shared" si="55"/>
        <v>0.53573838077905656</v>
      </c>
      <c r="DD21" s="64">
        <f t="shared" si="56"/>
        <v>0.62457722196166532</v>
      </c>
      <c r="DE21" s="65">
        <f t="shared" si="57"/>
        <v>0.51743743371818707</v>
      </c>
      <c r="DF21" s="64">
        <f t="shared" si="58"/>
        <v>0.63306122196166537</v>
      </c>
      <c r="DG21" s="65">
        <f t="shared" si="59"/>
        <v>0.49913648665731758</v>
      </c>
      <c r="DL21">
        <v>2031</v>
      </c>
      <c r="DM21" s="64">
        <f t="shared" si="60"/>
        <v>0.49913648665731758</v>
      </c>
      <c r="DN21" s="64">
        <f t="shared" si="61"/>
        <v>0.51743743371818707</v>
      </c>
      <c r="DO21" s="64">
        <f t="shared" si="62"/>
        <v>0.53573838077905656</v>
      </c>
      <c r="DP21" s="64">
        <f t="shared" si="63"/>
        <v>0.55403932783992604</v>
      </c>
      <c r="DQ21" s="64">
        <f t="shared" si="64"/>
        <v>0.57234027490079553</v>
      </c>
      <c r="DR21" s="64">
        <f t="shared" si="65"/>
        <v>0.58124121901946568</v>
      </c>
      <c r="DS21" s="64">
        <f t="shared" si="26"/>
        <v>0.59014216313813583</v>
      </c>
      <c r="DT21" s="64">
        <f t="shared" si="27"/>
        <v>0.64503863372637105</v>
      </c>
      <c r="DU21" s="64">
        <f t="shared" si="28"/>
        <v>0.82489264832491116</v>
      </c>
      <c r="DV21" s="64">
        <f t="shared" si="29"/>
        <v>0.86316515440763619</v>
      </c>
      <c r="DW21" s="64">
        <f t="shared" si="30"/>
        <v>0.88163230769230772</v>
      </c>
      <c r="DX21" s="64">
        <f t="shared" si="31"/>
        <v>0.9311323076923077</v>
      </c>
      <c r="DY21" s="64">
        <f t="shared" si="32"/>
        <v>0.93718999999999997</v>
      </c>
      <c r="DZ21" s="64">
        <f t="shared" si="33"/>
        <v>0.93943999999999994</v>
      </c>
      <c r="EA21" s="3">
        <f t="shared" si="66"/>
        <v>0.95</v>
      </c>
      <c r="EB21">
        <v>2031</v>
      </c>
      <c r="EC21" s="269">
        <f t="shared" si="67"/>
        <v>0.49913648665731758</v>
      </c>
      <c r="ED21" s="269">
        <f t="shared" si="68"/>
        <v>0.05</v>
      </c>
      <c r="EE21" s="64">
        <f t="shared" si="34"/>
        <v>1.8300947060869488E-2</v>
      </c>
      <c r="EF21" s="64">
        <f t="shared" si="34"/>
        <v>1.8300947060869488E-2</v>
      </c>
      <c r="EG21" s="64">
        <f t="shared" si="34"/>
        <v>1.8300947060869488E-2</v>
      </c>
      <c r="EH21" s="64">
        <f t="shared" si="34"/>
        <v>1.8300947060869488E-2</v>
      </c>
      <c r="EI21" s="64">
        <f t="shared" si="34"/>
        <v>8.900944118670151E-3</v>
      </c>
      <c r="EJ21" s="64">
        <f t="shared" si="34"/>
        <v>8.900944118670151E-3</v>
      </c>
      <c r="EK21" s="64">
        <f t="shared" si="34"/>
        <v>5.4896470588235213E-2</v>
      </c>
      <c r="EL21" s="64">
        <f t="shared" si="34"/>
        <v>0.17985401459854011</v>
      </c>
      <c r="EM21" s="64">
        <f t="shared" si="34"/>
        <v>3.8272506082725033E-2</v>
      </c>
      <c r="EN21" s="64">
        <f t="shared" si="34"/>
        <v>1.8467153284671523E-2</v>
      </c>
      <c r="EO21" s="64">
        <f t="shared" si="34"/>
        <v>4.9499999999999988E-2</v>
      </c>
      <c r="EP21" s="64">
        <f t="shared" si="34"/>
        <v>6.057692307692264E-3</v>
      </c>
      <c r="EQ21" s="64">
        <f t="shared" si="34"/>
        <v>2.2499999999999742E-3</v>
      </c>
      <c r="ER21" s="64">
        <f t="shared" si="34"/>
        <v>1.0560000000000014E-2</v>
      </c>
      <c r="EX21" s="89">
        <v>2031</v>
      </c>
      <c r="EY21" s="278">
        <f t="shared" si="69"/>
        <v>0.98666666666666658</v>
      </c>
      <c r="EZ21" s="278"/>
      <c r="FA21" s="278">
        <f t="shared" si="70"/>
        <v>0.51927149116808557</v>
      </c>
      <c r="FB21" s="278">
        <f t="shared" si="35"/>
        <v>0.05</v>
      </c>
      <c r="FC21" s="64">
        <f t="shared" si="71"/>
        <v>0.13883530893217391</v>
      </c>
      <c r="FD21" s="64">
        <f t="shared" si="72"/>
        <v>1.2416583529411744E-2</v>
      </c>
      <c r="FE21" s="64">
        <f t="shared" si="73"/>
        <v>0.18644866180048658</v>
      </c>
      <c r="FF21" s="64">
        <f t="shared" si="74"/>
        <v>3.9675831305758281E-2</v>
      </c>
      <c r="FG21" s="64">
        <f t="shared" si="75"/>
        <v>1.9144282238442809E-2</v>
      </c>
      <c r="FH21" s="64">
        <f t="shared" si="76"/>
        <v>5.1314999999999986E-2</v>
      </c>
      <c r="FI21" s="64">
        <f t="shared" si="77"/>
        <v>6.2798076923076471E-3</v>
      </c>
      <c r="FJ21" s="64">
        <f t="shared" si="78"/>
        <v>2.332499999999973E-3</v>
      </c>
      <c r="FK21" s="280">
        <f t="shared" si="79"/>
        <v>1.0947200000000015E-2</v>
      </c>
      <c r="FL21" s="64"/>
      <c r="FM21" s="89">
        <v>2031</v>
      </c>
      <c r="FN21" s="278">
        <f t="shared" si="80"/>
        <v>0.98666666666666658</v>
      </c>
      <c r="FP21" s="278">
        <f t="shared" si="81"/>
        <v>0.53824347295452046</v>
      </c>
      <c r="FQ21" s="278">
        <f t="shared" si="82"/>
        <v>0.05</v>
      </c>
      <c r="FR21" s="64">
        <f t="shared" si="83"/>
        <v>0.11106824714573914</v>
      </c>
      <c r="FS21" s="64">
        <f t="shared" si="84"/>
        <v>2.1211663529411742E-2</v>
      </c>
      <c r="FT21" s="64">
        <f t="shared" si="85"/>
        <v>0.18644866180048658</v>
      </c>
      <c r="FU21" s="64">
        <f t="shared" si="86"/>
        <v>3.9675831305758281E-2</v>
      </c>
      <c r="FV21" s="64">
        <f t="shared" si="87"/>
        <v>1.9144282238442809E-2</v>
      </c>
      <c r="FW21" s="64">
        <f t="shared" si="88"/>
        <v>5.1314999999999986E-2</v>
      </c>
      <c r="FX21" s="64">
        <f t="shared" si="89"/>
        <v>6.2798076923076471E-3</v>
      </c>
      <c r="FY21" s="64">
        <f t="shared" si="90"/>
        <v>2.332499999999973E-3</v>
      </c>
      <c r="FZ21" s="280">
        <f t="shared" si="91"/>
        <v>1.0947200000000015E-2</v>
      </c>
      <c r="GA21" s="64"/>
      <c r="GB21" s="89">
        <v>2031</v>
      </c>
      <c r="GC21" s="278">
        <f t="shared" si="92"/>
        <v>0.98666666666666658</v>
      </c>
      <c r="GE21" s="278">
        <f t="shared" si="93"/>
        <v>0.55721545474095513</v>
      </c>
      <c r="GF21" s="278">
        <f t="shared" si="94"/>
        <v>0.05</v>
      </c>
      <c r="GG21" s="64">
        <f t="shared" si="95"/>
        <v>8.330118535930435E-2</v>
      </c>
      <c r="GH21" s="64">
        <f t="shared" si="96"/>
        <v>3.0006743529411739E-2</v>
      </c>
      <c r="GI21" s="64">
        <f t="shared" si="97"/>
        <v>0.18644866180048658</v>
      </c>
      <c r="GJ21" s="64">
        <f t="shared" si="98"/>
        <v>3.9675831305758281E-2</v>
      </c>
      <c r="GK21" s="64">
        <f t="shared" si="99"/>
        <v>1.9144282238442809E-2</v>
      </c>
      <c r="GL21" s="64">
        <f t="shared" si="100"/>
        <v>5.1314999999999986E-2</v>
      </c>
      <c r="GM21" s="64">
        <f t="shared" si="101"/>
        <v>6.2798076923076471E-3</v>
      </c>
      <c r="GN21" s="64">
        <f t="shared" si="102"/>
        <v>2.332499999999973E-3</v>
      </c>
      <c r="GO21" s="280">
        <f t="shared" si="103"/>
        <v>1.0947200000000015E-2</v>
      </c>
      <c r="GP21" s="64"/>
      <c r="GQ21" s="89">
        <v>2031</v>
      </c>
      <c r="GR21" s="278">
        <f t="shared" si="104"/>
        <v>0.98666666666666658</v>
      </c>
      <c r="GT21" s="278">
        <f t="shared" si="105"/>
        <v>0.57618743652739002</v>
      </c>
      <c r="GU21" s="278">
        <f t="shared" si="106"/>
        <v>0.05</v>
      </c>
      <c r="GV21" s="64">
        <f t="shared" si="107"/>
        <v>5.5534123572869569E-2</v>
      </c>
      <c r="GW21" s="64">
        <f t="shared" si="108"/>
        <v>3.8801823529411736E-2</v>
      </c>
      <c r="GX21" s="64">
        <f t="shared" si="109"/>
        <v>0.18644866180048658</v>
      </c>
      <c r="GY21" s="64">
        <f t="shared" si="110"/>
        <v>3.9675831305758281E-2</v>
      </c>
      <c r="GZ21" s="64">
        <f t="shared" si="111"/>
        <v>1.9144282238442809E-2</v>
      </c>
      <c r="HA21" s="64">
        <f t="shared" si="112"/>
        <v>5.1314999999999986E-2</v>
      </c>
      <c r="HB21" s="64">
        <f t="shared" si="113"/>
        <v>6.2798076923076471E-3</v>
      </c>
      <c r="HC21" s="64">
        <f t="shared" si="114"/>
        <v>2.332499999999973E-3</v>
      </c>
      <c r="HD21" s="280">
        <f t="shared" si="115"/>
        <v>1.0947200000000015E-2</v>
      </c>
      <c r="HE21" s="64"/>
      <c r="HF21" s="89">
        <v>2031</v>
      </c>
      <c r="HG21" s="278">
        <f t="shared" si="116"/>
        <v>0.98666666666666658</v>
      </c>
      <c r="HI21" s="278">
        <f t="shared" si="117"/>
        <v>0.5951594183138248</v>
      </c>
      <c r="HJ21" s="278">
        <f t="shared" si="118"/>
        <v>0.05</v>
      </c>
      <c r="HK21" s="64">
        <f t="shared" si="119"/>
        <v>2.7767061786434778E-2</v>
      </c>
      <c r="HL21" s="64">
        <f t="shared" si="120"/>
        <v>4.7596903529411733E-2</v>
      </c>
      <c r="HM21" s="64">
        <f t="shared" si="121"/>
        <v>0.18644866180048658</v>
      </c>
      <c r="HN21" s="64">
        <f t="shared" si="122"/>
        <v>3.9675831305758281E-2</v>
      </c>
      <c r="HO21" s="64">
        <f t="shared" si="123"/>
        <v>1.9144282238442809E-2</v>
      </c>
      <c r="HP21" s="64">
        <f t="shared" si="124"/>
        <v>5.1314999999999986E-2</v>
      </c>
      <c r="HQ21" s="64">
        <f t="shared" si="125"/>
        <v>6.2798076923076471E-3</v>
      </c>
      <c r="HR21" s="64">
        <f t="shared" si="126"/>
        <v>2.332499999999973E-3</v>
      </c>
      <c r="HS21" s="280">
        <f t="shared" si="127"/>
        <v>1.0947200000000015E-2</v>
      </c>
      <c r="HT21" s="64"/>
      <c r="HU21" s="89">
        <v>2031</v>
      </c>
      <c r="HV21" s="278">
        <f t="shared" si="128"/>
        <v>0.98666666666666658</v>
      </c>
      <c r="HX21" s="278">
        <f t="shared" si="129"/>
        <v>0.60438673038351276</v>
      </c>
      <c r="HY21" s="278">
        <f t="shared" si="130"/>
        <v>0.05</v>
      </c>
      <c r="HZ21" s="64">
        <f t="shared" si="131"/>
        <v>1.3883530893217378E-2</v>
      </c>
      <c r="IA21" s="64">
        <f t="shared" si="132"/>
        <v>5.2253122352941148E-2</v>
      </c>
      <c r="IB21" s="64">
        <f t="shared" si="133"/>
        <v>0.18644866180048658</v>
      </c>
      <c r="IC21" s="64">
        <f t="shared" si="134"/>
        <v>3.9675831305758281E-2</v>
      </c>
      <c r="ID21" s="64">
        <f t="shared" si="135"/>
        <v>1.9144282238442809E-2</v>
      </c>
      <c r="IE21" s="64">
        <f t="shared" si="136"/>
        <v>5.1314999999999986E-2</v>
      </c>
      <c r="IF21" s="64">
        <f t="shared" si="137"/>
        <v>6.2798076923076471E-3</v>
      </c>
      <c r="IG21" s="64">
        <f t="shared" si="138"/>
        <v>2.332499999999973E-3</v>
      </c>
      <c r="IH21" s="280">
        <f t="shared" si="139"/>
        <v>1.0947200000000015E-2</v>
      </c>
      <c r="II21" s="64"/>
      <c r="IJ21" s="89">
        <v>2031</v>
      </c>
      <c r="IK21" s="278">
        <f t="shared" si="140"/>
        <v>0.98666666666666658</v>
      </c>
      <c r="IM21" s="278">
        <f t="shared" si="141"/>
        <v>0.61361404245320073</v>
      </c>
      <c r="IN21" s="278">
        <f t="shared" si="142"/>
        <v>0.05</v>
      </c>
      <c r="IO21" s="64">
        <v>0</v>
      </c>
      <c r="IP21" s="64">
        <f t="shared" si="143"/>
        <v>5.6909341176470563E-2</v>
      </c>
      <c r="IQ21" s="64">
        <f t="shared" si="144"/>
        <v>0.18644866180048658</v>
      </c>
      <c r="IR21" s="64">
        <f t="shared" si="145"/>
        <v>3.9675831305758281E-2</v>
      </c>
      <c r="IS21" s="64">
        <f t="shared" si="146"/>
        <v>1.9144282238442809E-2</v>
      </c>
      <c r="IT21" s="64">
        <f t="shared" si="147"/>
        <v>5.1314999999999986E-2</v>
      </c>
      <c r="IU21" s="64">
        <f t="shared" si="148"/>
        <v>6.2798076923076471E-3</v>
      </c>
      <c r="IV21" s="64">
        <f t="shared" si="149"/>
        <v>2.332499999999973E-3</v>
      </c>
      <c r="IW21" s="280">
        <f t="shared" si="150"/>
        <v>1.0947200000000015E-2</v>
      </c>
      <c r="IX21" s="3">
        <f t="shared" si="151"/>
        <v>0.43249999999999922</v>
      </c>
      <c r="IY21">
        <f t="shared" si="36"/>
        <v>2031</v>
      </c>
      <c r="IZ21" s="3">
        <f t="shared" si="152"/>
        <v>9.4202745848689684</v>
      </c>
      <c r="JA21" s="353">
        <f>HLOOKUP($JG$3,'Timing calculations'!JH$8:JT$39,14,FALSE)</f>
        <v>9.5590475860481359</v>
      </c>
      <c r="JB21" s="3">
        <f t="shared" si="153"/>
        <v>11.62</v>
      </c>
      <c r="JC21" s="353">
        <f t="shared" si="154"/>
        <v>12.231578947368421</v>
      </c>
      <c r="JD21" s="418">
        <f t="shared" si="37"/>
        <v>0.43249999999999966</v>
      </c>
      <c r="JE21" s="368">
        <f t="shared" si="155"/>
        <v>8.1324999999999967</v>
      </c>
      <c r="JF21" s="369">
        <f t="shared" si="156"/>
        <v>8.5605263157894704</v>
      </c>
      <c r="JG21" s="363">
        <f t="shared" si="157"/>
        <v>8.995659210254134</v>
      </c>
      <c r="JH21" s="362">
        <f t="shared" si="38"/>
        <v>9.4691149581622476</v>
      </c>
      <c r="JI21" s="366">
        <f t="shared" si="39"/>
        <v>9.0810952067457293</v>
      </c>
      <c r="JJ21" s="367">
        <f t="shared" si="9"/>
        <v>9.5590475860481359</v>
      </c>
      <c r="JK21" s="363">
        <f t="shared" si="40"/>
        <v>9.166531203237323</v>
      </c>
      <c r="JL21" s="362">
        <f t="shared" si="41"/>
        <v>9.6489802139340242</v>
      </c>
      <c r="JM21" s="366">
        <f t="shared" si="158"/>
        <v>9.2519671997289183</v>
      </c>
      <c r="JN21" s="367">
        <f t="shared" si="42"/>
        <v>9.7389128418199142</v>
      </c>
      <c r="JO21" s="363">
        <f t="shared" si="159"/>
        <v>9.337403196220512</v>
      </c>
      <c r="JP21" s="362">
        <f t="shared" si="43"/>
        <v>9.8288454697058025</v>
      </c>
      <c r="JQ21" s="366">
        <f t="shared" si="160"/>
        <v>9.378838890544742</v>
      </c>
      <c r="JR21" s="367">
        <f t="shared" si="44"/>
        <v>9.872461990047098</v>
      </c>
      <c r="JS21" s="363">
        <f t="shared" si="161"/>
        <v>9.4202745848689684</v>
      </c>
      <c r="JT21" s="362">
        <f t="shared" si="45"/>
        <v>9.9160785103883882</v>
      </c>
    </row>
    <row r="22" spans="1:282">
      <c r="A22" s="259">
        <f>'1 StrategyMix for CarbonTargets'!V22</f>
        <v>0.3</v>
      </c>
      <c r="B22" s="247"/>
      <c r="C22" s="247"/>
      <c r="D22" s="247"/>
      <c r="E22" s="293"/>
      <c r="F22" s="293"/>
      <c r="G22" s="293"/>
      <c r="H22" s="297" cm="1">
        <f t="array" ref="H22">INDEX(HdF!I9:I53,MATCH(1,(A9=HdF!A9:A53)*(A22=HdF!B9:B53),0))</f>
        <v>2.7E-2</v>
      </c>
      <c r="I22" s="298" cm="1">
        <f t="array" ref="I22">INDEX(HdF!H9:H53,MATCH(1,(A9=HdF!A9:A53)*(A22=HdF!B9:B53),0))</f>
        <v>2.4E-2</v>
      </c>
      <c r="J22" s="299" cm="1">
        <f t="array" ref="J22">INDEX(HdF!G9:G53,MATCH(1,(A9=HdF!A9:A53)*(A22=HdF!B9:B53),0))</f>
        <v>2.2499999999999999E-2</v>
      </c>
      <c r="K22" s="5"/>
      <c r="AO22" s="89">
        <v>2032</v>
      </c>
      <c r="AP22" s="170">
        <f t="shared" si="162"/>
        <v>-1.1520000000000002E-2</v>
      </c>
      <c r="AQ22" s="170">
        <f t="shared" si="162"/>
        <v>-2.5000000000000009E-3</v>
      </c>
      <c r="AR22" s="170">
        <f t="shared" si="162"/>
        <v>-6.9230769230769216E-3</v>
      </c>
      <c r="AS22" s="170">
        <f t="shared" si="162"/>
        <v>-5.400000000000002E-2</v>
      </c>
      <c r="AU22" s="170">
        <f t="shared" si="163"/>
        <v>-2.0145985401459857E-2</v>
      </c>
      <c r="AV22" s="170">
        <f t="shared" si="163"/>
        <v>-4.1751824817518247E-2</v>
      </c>
      <c r="AW22" s="170">
        <f t="shared" si="163"/>
        <v>-0.19620437956204376</v>
      </c>
      <c r="AY22" s="170">
        <f t="shared" si="164"/>
        <v>-5.9887058823529384E-2</v>
      </c>
      <c r="AZ22" s="278">
        <f t="shared" si="165"/>
        <v>4.9905882352941156E-3</v>
      </c>
      <c r="BA22" s="284">
        <f t="shared" si="166"/>
        <v>-2.7417041947826064E-2</v>
      </c>
      <c r="BB22" s="276">
        <f t="shared" si="167"/>
        <v>-2.1552638840579699E-2</v>
      </c>
      <c r="BC22" s="277">
        <f t="shared" si="10"/>
        <v>-1.523168997101448E-2</v>
      </c>
      <c r="BD22" s="278">
        <f t="shared" si="168"/>
        <v>4.9905882352941156E-3</v>
      </c>
      <c r="BE22" s="284">
        <f t="shared" si="169"/>
        <v>-2.7417041947826105E-2</v>
      </c>
      <c r="BF22" s="276">
        <f t="shared" si="170"/>
        <v>-2.1552638840579699E-2</v>
      </c>
      <c r="BG22" s="277">
        <f t="shared" si="11"/>
        <v>-1.5231689971014505E-2</v>
      </c>
      <c r="BH22" s="278">
        <f t="shared" si="171"/>
        <v>9.4266666666666631E-3</v>
      </c>
      <c r="BI22" s="284">
        <f t="shared" si="172"/>
        <v>-5.4834083895652197E-2</v>
      </c>
      <c r="BJ22" s="276">
        <f t="shared" si="173"/>
        <v>-4.3105277681159467E-2</v>
      </c>
      <c r="BK22" s="277">
        <f t="shared" si="12"/>
        <v>-3.0463379942029006E-2</v>
      </c>
      <c r="BL22" s="278">
        <f t="shared" si="174"/>
        <v>9.4266666666666631E-3</v>
      </c>
      <c r="BM22" s="284">
        <f t="shared" si="175"/>
        <v>-5.4834083895652155E-2</v>
      </c>
      <c r="BN22" s="276">
        <f t="shared" si="176"/>
        <v>-4.3105277681159383E-2</v>
      </c>
      <c r="BO22" s="277">
        <f t="shared" si="13"/>
        <v>-3.0463379942028978E-2</v>
      </c>
      <c r="BP22" s="278">
        <f t="shared" si="177"/>
        <v>9.4266666666666631E-3</v>
      </c>
      <c r="BQ22" s="284">
        <f t="shared" si="178"/>
        <v>-5.4834083895652211E-2</v>
      </c>
      <c r="BR22" s="276">
        <f t="shared" si="179"/>
        <v>-4.3105277681159432E-2</v>
      </c>
      <c r="BS22" s="277">
        <f t="shared" si="14"/>
        <v>-3.0463379942028999E-2</v>
      </c>
      <c r="BT22" s="278">
        <f t="shared" si="180"/>
        <v>9.4266666666666631E-3</v>
      </c>
      <c r="BU22" s="284">
        <f t="shared" si="181"/>
        <v>-5.4834083895652155E-2</v>
      </c>
      <c r="BV22" s="276">
        <f t="shared" si="182"/>
        <v>-4.3105277681159411E-2</v>
      </c>
      <c r="BW22" s="278">
        <f t="shared" si="15"/>
        <v>-3.0463379942028974E-2</v>
      </c>
      <c r="BX22" s="391">
        <f t="shared" si="46"/>
        <v>-2.1625882352941168E-2</v>
      </c>
      <c r="BY22" s="392">
        <f t="shared" si="47"/>
        <v>-0.12185351976811597</v>
      </c>
      <c r="BZ22" s="278"/>
      <c r="CB22" s="279">
        <f t="shared" si="183"/>
        <v>-0.39293232552762825</v>
      </c>
      <c r="CC22" s="64">
        <f t="shared" si="17"/>
        <v>-0.40317342726334859</v>
      </c>
      <c r="CD22" s="64">
        <f t="shared" si="18"/>
        <v>-0.41341452899906894</v>
      </c>
      <c r="CE22" s="64">
        <f t="shared" si="19"/>
        <v>-0.43445124227443133</v>
      </c>
      <c r="CF22" s="64">
        <f t="shared" si="20"/>
        <v>-0.45548795554979365</v>
      </c>
      <c r="CG22" s="64">
        <f t="shared" si="21"/>
        <v>-0.47652466882515604</v>
      </c>
      <c r="CH22" s="64">
        <f t="shared" si="22"/>
        <v>-0.49756138210051837</v>
      </c>
      <c r="CI22">
        <v>2032</v>
      </c>
      <c r="CJ22" s="240"/>
      <c r="CL22">
        <v>2032</v>
      </c>
      <c r="CM22" s="3">
        <f t="shared" si="48"/>
        <v>0.95</v>
      </c>
      <c r="CN22" s="64">
        <f t="shared" si="23"/>
        <v>0.93847999999999998</v>
      </c>
      <c r="CO22" s="64">
        <f t="shared" si="23"/>
        <v>0.93598000000000003</v>
      </c>
      <c r="CP22" s="64">
        <f t="shared" si="23"/>
        <v>0.92905692307692311</v>
      </c>
      <c r="CQ22" s="64">
        <f t="shared" si="23"/>
        <v>0.87505692307692307</v>
      </c>
      <c r="CR22" s="64">
        <f t="shared" si="24"/>
        <v>0.85491093767546322</v>
      </c>
      <c r="CS22" s="64">
        <f t="shared" si="24"/>
        <v>0.81315911285794495</v>
      </c>
      <c r="CT22" s="64">
        <f t="shared" si="24"/>
        <v>0.61695473329590123</v>
      </c>
      <c r="CU22" s="64">
        <f t="shared" si="25"/>
        <v>0.55706767447237182</v>
      </c>
      <c r="CV22" s="64">
        <f t="shared" si="25"/>
        <v>0.5620582627076659</v>
      </c>
      <c r="CW22" s="65">
        <f t="shared" si="49"/>
        <v>0.54682657273665147</v>
      </c>
      <c r="CX22" s="64">
        <f t="shared" si="50"/>
        <v>0.56704885094295998</v>
      </c>
      <c r="CY22" s="65">
        <f t="shared" si="51"/>
        <v>0.53658547100093101</v>
      </c>
      <c r="CZ22" s="64">
        <f t="shared" si="52"/>
        <v>0.57647551760962668</v>
      </c>
      <c r="DA22" s="65">
        <f t="shared" si="53"/>
        <v>0.51554875772556874</v>
      </c>
      <c r="DB22" s="64">
        <f t="shared" si="54"/>
        <v>0.58590218427629337</v>
      </c>
      <c r="DC22" s="65">
        <f t="shared" si="55"/>
        <v>0.49451204445020647</v>
      </c>
      <c r="DD22" s="64">
        <f t="shared" si="56"/>
        <v>0.59532885094296006</v>
      </c>
      <c r="DE22" s="65">
        <f t="shared" si="57"/>
        <v>0.47347533117484414</v>
      </c>
      <c r="DF22" s="64">
        <f t="shared" si="58"/>
        <v>0.60475551760962676</v>
      </c>
      <c r="DG22" s="65">
        <f t="shared" si="59"/>
        <v>0.45243861789948187</v>
      </c>
      <c r="DL22">
        <v>2032</v>
      </c>
      <c r="DM22" s="64">
        <f t="shared" si="60"/>
        <v>0.45243861789948187</v>
      </c>
      <c r="DN22" s="64">
        <f t="shared" si="61"/>
        <v>0.47347533117484414</v>
      </c>
      <c r="DO22" s="64">
        <f t="shared" si="62"/>
        <v>0.49451204445020647</v>
      </c>
      <c r="DP22" s="64">
        <f t="shared" si="63"/>
        <v>0.51554875772556874</v>
      </c>
      <c r="DQ22" s="64">
        <f t="shared" si="64"/>
        <v>0.53658547100093101</v>
      </c>
      <c r="DR22" s="64">
        <f t="shared" si="65"/>
        <v>0.54682657273665147</v>
      </c>
      <c r="DS22" s="64">
        <f t="shared" si="26"/>
        <v>0.55706767447237182</v>
      </c>
      <c r="DT22" s="64">
        <f t="shared" si="27"/>
        <v>0.61695473329590123</v>
      </c>
      <c r="DU22" s="64">
        <f t="shared" si="28"/>
        <v>0.81315911285794495</v>
      </c>
      <c r="DV22" s="64">
        <f t="shared" si="29"/>
        <v>0.85491093767546322</v>
      </c>
      <c r="DW22" s="64">
        <f t="shared" si="30"/>
        <v>0.87505692307692307</v>
      </c>
      <c r="DX22" s="64">
        <f t="shared" si="31"/>
        <v>0.92905692307692311</v>
      </c>
      <c r="DY22" s="64">
        <f t="shared" si="32"/>
        <v>0.93598000000000003</v>
      </c>
      <c r="DZ22" s="64">
        <f t="shared" si="33"/>
        <v>0.93847999999999998</v>
      </c>
      <c r="EA22" s="3">
        <f t="shared" si="66"/>
        <v>0.95</v>
      </c>
      <c r="EB22">
        <v>2032</v>
      </c>
      <c r="EC22" s="269">
        <f t="shared" si="67"/>
        <v>0.45243861789948192</v>
      </c>
      <c r="ED22" s="269">
        <f t="shared" si="68"/>
        <v>0.05</v>
      </c>
      <c r="EE22" s="64">
        <f t="shared" si="34"/>
        <v>2.1036713275362273E-2</v>
      </c>
      <c r="EF22" s="64">
        <f t="shared" si="34"/>
        <v>2.1036713275362329E-2</v>
      </c>
      <c r="EG22" s="64">
        <f t="shared" si="34"/>
        <v>2.1036713275362273E-2</v>
      </c>
      <c r="EH22" s="64">
        <f t="shared" si="34"/>
        <v>2.1036713275362273E-2</v>
      </c>
      <c r="EI22" s="64">
        <f t="shared" si="34"/>
        <v>1.0241101735720459E-2</v>
      </c>
      <c r="EJ22" s="64">
        <f t="shared" si="34"/>
        <v>1.0241101735720348E-2</v>
      </c>
      <c r="EK22" s="64">
        <f t="shared" si="34"/>
        <v>5.9887058823529404E-2</v>
      </c>
      <c r="EL22" s="64">
        <f t="shared" si="34"/>
        <v>0.19620437956204373</v>
      </c>
      <c r="EM22" s="64">
        <f t="shared" si="34"/>
        <v>4.1751824817518268E-2</v>
      </c>
      <c r="EN22" s="64">
        <f t="shared" si="34"/>
        <v>2.0145985401459843E-2</v>
      </c>
      <c r="EO22" s="64">
        <f t="shared" si="34"/>
        <v>5.4000000000000048E-2</v>
      </c>
      <c r="EP22" s="64">
        <f t="shared" si="34"/>
        <v>6.9230769230769207E-3</v>
      </c>
      <c r="EQ22" s="64">
        <f t="shared" si="34"/>
        <v>2.4999999999999467E-3</v>
      </c>
      <c r="ER22" s="64">
        <f t="shared" si="34"/>
        <v>1.1519999999999975E-2</v>
      </c>
      <c r="EX22" s="89">
        <v>2032</v>
      </c>
      <c r="EY22" s="278">
        <f t="shared" si="69"/>
        <v>0.99</v>
      </c>
      <c r="EZ22" s="278"/>
      <c r="FA22" s="278">
        <f t="shared" si="70"/>
        <v>0.47253616261546105</v>
      </c>
      <c r="FB22" s="278">
        <f t="shared" si="35"/>
        <v>0.05</v>
      </c>
      <c r="FC22" s="64">
        <f t="shared" si="71"/>
        <v>0.15840957569855074</v>
      </c>
      <c r="FD22" s="64">
        <f t="shared" si="72"/>
        <v>1.2687184313725485E-2</v>
      </c>
      <c r="FE22" s="64">
        <f t="shared" si="73"/>
        <v>0.20405255474452549</v>
      </c>
      <c r="FF22" s="64">
        <f t="shared" si="74"/>
        <v>4.3421897810218997E-2</v>
      </c>
      <c r="FG22" s="64">
        <f t="shared" si="75"/>
        <v>2.0951824817518238E-2</v>
      </c>
      <c r="FH22" s="64">
        <f t="shared" si="76"/>
        <v>5.616000000000005E-2</v>
      </c>
      <c r="FI22" s="64">
        <f t="shared" si="77"/>
        <v>7.1999999999999981E-3</v>
      </c>
      <c r="FJ22" s="64">
        <f t="shared" si="78"/>
        <v>2.5999999999999448E-3</v>
      </c>
      <c r="FK22" s="280">
        <f t="shared" si="79"/>
        <v>1.1980799999999974E-2</v>
      </c>
      <c r="FL22" s="64"/>
      <c r="FM22" s="89">
        <v>2032</v>
      </c>
      <c r="FN22" s="278">
        <f t="shared" si="80"/>
        <v>0.99</v>
      </c>
      <c r="FP22" s="278">
        <f t="shared" si="81"/>
        <v>0.49441434442183796</v>
      </c>
      <c r="FQ22" s="278">
        <f t="shared" si="82"/>
        <v>0.05</v>
      </c>
      <c r="FR22" s="64">
        <f t="shared" si="83"/>
        <v>0.1267276605588406</v>
      </c>
      <c r="FS22" s="64">
        <f t="shared" si="84"/>
        <v>2.2490917647058815E-2</v>
      </c>
      <c r="FT22" s="64">
        <f t="shared" si="85"/>
        <v>0.20405255474452549</v>
      </c>
      <c r="FU22" s="64">
        <f t="shared" si="86"/>
        <v>4.3421897810218997E-2</v>
      </c>
      <c r="FV22" s="64">
        <f t="shared" si="87"/>
        <v>2.0951824817518238E-2</v>
      </c>
      <c r="FW22" s="64">
        <f t="shared" si="88"/>
        <v>5.616000000000005E-2</v>
      </c>
      <c r="FX22" s="64">
        <f t="shared" si="89"/>
        <v>7.1999999999999981E-3</v>
      </c>
      <c r="FY22" s="64">
        <f t="shared" si="90"/>
        <v>2.5999999999999448E-3</v>
      </c>
      <c r="FZ22" s="280">
        <f t="shared" si="91"/>
        <v>1.1980799999999974E-2</v>
      </c>
      <c r="GA22" s="64"/>
      <c r="GB22" s="89">
        <v>2032</v>
      </c>
      <c r="GC22" s="278">
        <f t="shared" si="92"/>
        <v>0.99</v>
      </c>
      <c r="GE22" s="278">
        <f t="shared" si="93"/>
        <v>0.51629252622821475</v>
      </c>
      <c r="GF22" s="278">
        <f t="shared" si="94"/>
        <v>0.05</v>
      </c>
      <c r="GG22" s="64">
        <f t="shared" si="95"/>
        <v>9.5045745419130453E-2</v>
      </c>
      <c r="GH22" s="64">
        <f t="shared" si="96"/>
        <v>3.2294650980392144E-2</v>
      </c>
      <c r="GI22" s="64">
        <f t="shared" si="97"/>
        <v>0.20405255474452549</v>
      </c>
      <c r="GJ22" s="64">
        <f t="shared" si="98"/>
        <v>4.3421897810218997E-2</v>
      </c>
      <c r="GK22" s="64">
        <f t="shared" si="99"/>
        <v>2.0951824817518238E-2</v>
      </c>
      <c r="GL22" s="64">
        <f t="shared" si="100"/>
        <v>5.616000000000005E-2</v>
      </c>
      <c r="GM22" s="64">
        <f t="shared" si="101"/>
        <v>7.1999999999999981E-3</v>
      </c>
      <c r="GN22" s="64">
        <f t="shared" si="102"/>
        <v>2.5999999999999448E-3</v>
      </c>
      <c r="GO22" s="280">
        <f t="shared" si="103"/>
        <v>1.1980799999999974E-2</v>
      </c>
      <c r="GP22" s="64"/>
      <c r="GQ22" s="89">
        <v>2032</v>
      </c>
      <c r="GR22" s="278">
        <f t="shared" si="104"/>
        <v>0.99</v>
      </c>
      <c r="GT22" s="278">
        <f t="shared" si="105"/>
        <v>0.53817070803459155</v>
      </c>
      <c r="GU22" s="278">
        <f t="shared" si="106"/>
        <v>0.05</v>
      </c>
      <c r="GV22" s="64">
        <f t="shared" si="107"/>
        <v>6.3363830279420316E-2</v>
      </c>
      <c r="GW22" s="64">
        <f t="shared" si="108"/>
        <v>4.2098384313725479E-2</v>
      </c>
      <c r="GX22" s="64">
        <f t="shared" si="109"/>
        <v>0.20405255474452549</v>
      </c>
      <c r="GY22" s="64">
        <f t="shared" si="110"/>
        <v>4.3421897810218997E-2</v>
      </c>
      <c r="GZ22" s="64">
        <f t="shared" si="111"/>
        <v>2.0951824817518238E-2</v>
      </c>
      <c r="HA22" s="64">
        <f t="shared" si="112"/>
        <v>5.616000000000005E-2</v>
      </c>
      <c r="HB22" s="64">
        <f t="shared" si="113"/>
        <v>7.1999999999999981E-3</v>
      </c>
      <c r="HC22" s="64">
        <f t="shared" si="114"/>
        <v>2.5999999999999448E-3</v>
      </c>
      <c r="HD22" s="280">
        <f t="shared" si="115"/>
        <v>1.1980799999999974E-2</v>
      </c>
      <c r="HE22" s="64"/>
      <c r="HF22" s="89">
        <v>2032</v>
      </c>
      <c r="HG22" s="278">
        <f t="shared" si="116"/>
        <v>0.99</v>
      </c>
      <c r="HI22" s="278">
        <f t="shared" si="117"/>
        <v>0.56004888984096834</v>
      </c>
      <c r="HJ22" s="278">
        <f t="shared" si="118"/>
        <v>0.05</v>
      </c>
      <c r="HK22" s="64">
        <f t="shared" si="119"/>
        <v>3.1681915139710144E-2</v>
      </c>
      <c r="HL22" s="64">
        <f t="shared" si="120"/>
        <v>5.19021176470588E-2</v>
      </c>
      <c r="HM22" s="64">
        <f t="shared" si="121"/>
        <v>0.20405255474452549</v>
      </c>
      <c r="HN22" s="64">
        <f t="shared" si="122"/>
        <v>4.3421897810218997E-2</v>
      </c>
      <c r="HO22" s="64">
        <f t="shared" si="123"/>
        <v>2.0951824817518238E-2</v>
      </c>
      <c r="HP22" s="64">
        <f t="shared" si="124"/>
        <v>5.616000000000005E-2</v>
      </c>
      <c r="HQ22" s="64">
        <f t="shared" si="125"/>
        <v>7.1999999999999981E-3</v>
      </c>
      <c r="HR22" s="64">
        <f t="shared" si="126"/>
        <v>2.5999999999999448E-3</v>
      </c>
      <c r="HS22" s="280">
        <f t="shared" si="127"/>
        <v>1.1980799999999974E-2</v>
      </c>
      <c r="HT22" s="64"/>
      <c r="HU22" s="89">
        <v>2032</v>
      </c>
      <c r="HV22" s="278">
        <f t="shared" si="128"/>
        <v>0.99</v>
      </c>
      <c r="HX22" s="278">
        <f t="shared" si="129"/>
        <v>0.57069963564611759</v>
      </c>
      <c r="HY22" s="278">
        <f t="shared" si="130"/>
        <v>0.05</v>
      </c>
      <c r="HZ22" s="64">
        <f t="shared" si="131"/>
        <v>1.5840957569855062E-2</v>
      </c>
      <c r="IA22" s="64">
        <f t="shared" si="132"/>
        <v>5.7092329411764682E-2</v>
      </c>
      <c r="IB22" s="64">
        <f t="shared" si="133"/>
        <v>0.20405255474452549</v>
      </c>
      <c r="IC22" s="64">
        <f t="shared" si="134"/>
        <v>4.3421897810218997E-2</v>
      </c>
      <c r="ID22" s="64">
        <f t="shared" si="135"/>
        <v>2.0951824817518238E-2</v>
      </c>
      <c r="IE22" s="64">
        <f t="shared" si="136"/>
        <v>5.616000000000005E-2</v>
      </c>
      <c r="IF22" s="64">
        <f t="shared" si="137"/>
        <v>7.1999999999999981E-3</v>
      </c>
      <c r="IG22" s="64">
        <f t="shared" si="138"/>
        <v>2.5999999999999448E-3</v>
      </c>
      <c r="IH22" s="280">
        <f t="shared" si="139"/>
        <v>1.1980799999999974E-2</v>
      </c>
      <c r="II22" s="64"/>
      <c r="IJ22" s="89">
        <v>2032</v>
      </c>
      <c r="IK22" s="278">
        <f t="shared" si="140"/>
        <v>0.99</v>
      </c>
      <c r="IM22" s="278">
        <f t="shared" si="141"/>
        <v>0.58135038145126683</v>
      </c>
      <c r="IN22" s="278">
        <f t="shared" si="142"/>
        <v>0.05</v>
      </c>
      <c r="IO22" s="64">
        <v>0</v>
      </c>
      <c r="IP22" s="64">
        <f t="shared" si="143"/>
        <v>6.2282541176470564E-2</v>
      </c>
      <c r="IQ22" s="64">
        <f t="shared" si="144"/>
        <v>0.20405255474452549</v>
      </c>
      <c r="IR22" s="64">
        <f t="shared" si="145"/>
        <v>4.3421897810218997E-2</v>
      </c>
      <c r="IS22" s="64">
        <f t="shared" si="146"/>
        <v>2.0951824817518238E-2</v>
      </c>
      <c r="IT22" s="64">
        <f t="shared" si="147"/>
        <v>5.616000000000005E-2</v>
      </c>
      <c r="IU22" s="64">
        <f t="shared" si="148"/>
        <v>7.1999999999999981E-3</v>
      </c>
      <c r="IV22" s="64">
        <f t="shared" si="149"/>
        <v>2.5999999999999448E-3</v>
      </c>
      <c r="IW22" s="280">
        <f t="shared" si="150"/>
        <v>1.1980799999999974E-2</v>
      </c>
      <c r="IX22" s="3">
        <f t="shared" si="151"/>
        <v>0.41499999999999915</v>
      </c>
      <c r="IY22">
        <f t="shared" si="36"/>
        <v>2032</v>
      </c>
      <c r="IZ22" s="3">
        <f t="shared" si="152"/>
        <v>10.001624966320236</v>
      </c>
      <c r="JA22" s="353">
        <f>HLOOKUP($JG$3,'Timing calculations'!JH$8:JT$39,15,FALSE)</f>
        <v>10.079483738071124</v>
      </c>
      <c r="JB22" s="3">
        <f t="shared" si="153"/>
        <v>12.61</v>
      </c>
      <c r="JC22" s="353">
        <f t="shared" si="154"/>
        <v>13.273684210526316</v>
      </c>
      <c r="JD22" s="418">
        <f t="shared" si="37"/>
        <v>0.4149999999999997</v>
      </c>
      <c r="JE22" s="368">
        <f t="shared" si="155"/>
        <v>8.5474999999999959</v>
      </c>
      <c r="JF22" s="369">
        <f t="shared" si="156"/>
        <v>8.9973684210526272</v>
      </c>
      <c r="JG22" s="363">
        <f t="shared" si="157"/>
        <v>9.4681953728695945</v>
      </c>
      <c r="JH22" s="362">
        <f t="shared" si="38"/>
        <v>9.9665214451258901</v>
      </c>
      <c r="JI22" s="366">
        <f t="shared" si="39"/>
        <v>9.575509551167567</v>
      </c>
      <c r="JJ22" s="367">
        <f t="shared" si="9"/>
        <v>10.079483738071124</v>
      </c>
      <c r="JK22" s="363">
        <f t="shared" si="40"/>
        <v>9.6828237294655377</v>
      </c>
      <c r="JL22" s="362">
        <f t="shared" si="41"/>
        <v>10.192446031016356</v>
      </c>
      <c r="JM22" s="366">
        <f t="shared" si="158"/>
        <v>9.7901379077635102</v>
      </c>
      <c r="JN22" s="367">
        <f t="shared" si="42"/>
        <v>10.30540832396159</v>
      </c>
      <c r="JO22" s="363">
        <f t="shared" si="159"/>
        <v>9.897452086061481</v>
      </c>
      <c r="JP22" s="362">
        <f t="shared" si="43"/>
        <v>10.418370616906822</v>
      </c>
      <c r="JQ22" s="366">
        <f t="shared" si="160"/>
        <v>9.9495385261908602</v>
      </c>
      <c r="JR22" s="367">
        <f t="shared" si="44"/>
        <v>10.473198448621959</v>
      </c>
      <c r="JS22" s="363">
        <f t="shared" si="161"/>
        <v>10.001624966320236</v>
      </c>
      <c r="JT22" s="362">
        <f t="shared" si="45"/>
        <v>10.528026280337091</v>
      </c>
    </row>
    <row r="23" spans="1:282">
      <c r="A23" s="247"/>
      <c r="B23" s="247"/>
      <c r="C23" s="247"/>
      <c r="D23" s="247"/>
      <c r="E23" s="247"/>
      <c r="F23" s="247"/>
      <c r="H23" s="300"/>
      <c r="J23" s="301"/>
      <c r="AO23" s="89">
        <v>2033</v>
      </c>
      <c r="AP23" s="170">
        <f t="shared" si="162"/>
        <v>-1.2480000000000003E-2</v>
      </c>
      <c r="AQ23" s="170">
        <f t="shared" si="162"/>
        <v>-2.7500000000000011E-3</v>
      </c>
      <c r="AR23" s="170">
        <f t="shared" si="162"/>
        <v>-7.7884615384615366E-3</v>
      </c>
      <c r="AS23" s="170">
        <f t="shared" si="162"/>
        <v>-5.8500000000000024E-2</v>
      </c>
      <c r="AU23" s="170">
        <f t="shared" si="163"/>
        <v>-2.1824817518248177E-2</v>
      </c>
      <c r="AV23" s="170">
        <f t="shared" si="163"/>
        <v>-4.5231143552311434E-2</v>
      </c>
      <c r="AW23" s="170">
        <f t="shared" si="163"/>
        <v>-0.2125547445255474</v>
      </c>
      <c r="AY23" s="170">
        <f t="shared" si="164"/>
        <v>-6.4877647058823498E-2</v>
      </c>
      <c r="AZ23" s="278">
        <f t="shared" si="165"/>
        <v>5.4896470588235271E-3</v>
      </c>
      <c r="BA23" s="284">
        <f t="shared" si="166"/>
        <v>-2.8049136834782586E-2</v>
      </c>
      <c r="BB23" s="276">
        <f t="shared" si="167"/>
        <v>-2.3707902724637669E-2</v>
      </c>
      <c r="BC23" s="277">
        <f t="shared" si="10"/>
        <v>-1.7141139176811579E-2</v>
      </c>
      <c r="BD23" s="278">
        <f t="shared" si="168"/>
        <v>5.4896470588235271E-3</v>
      </c>
      <c r="BE23" s="284">
        <f t="shared" si="169"/>
        <v>-2.8049136834782627E-2</v>
      </c>
      <c r="BF23" s="276">
        <f t="shared" si="170"/>
        <v>-2.3707902724637669E-2</v>
      </c>
      <c r="BG23" s="277">
        <f t="shared" si="11"/>
        <v>-1.7141139176811607E-2</v>
      </c>
      <c r="BH23" s="278">
        <f t="shared" si="171"/>
        <v>1.0369333333333329E-2</v>
      </c>
      <c r="BI23" s="284">
        <f t="shared" si="172"/>
        <v>-5.6098273669565241E-2</v>
      </c>
      <c r="BJ23" s="276">
        <f t="shared" si="173"/>
        <v>-4.7415805449275414E-2</v>
      </c>
      <c r="BK23" s="277">
        <f t="shared" si="12"/>
        <v>-3.4282278353623213E-2</v>
      </c>
      <c r="BL23" s="278">
        <f t="shared" si="174"/>
        <v>1.0369333333333329E-2</v>
      </c>
      <c r="BM23" s="284">
        <f t="shared" si="175"/>
        <v>-5.6098273669565199E-2</v>
      </c>
      <c r="BN23" s="276">
        <f t="shared" si="176"/>
        <v>-4.7415805449275324E-2</v>
      </c>
      <c r="BO23" s="277">
        <f t="shared" si="13"/>
        <v>-3.4282278353623186E-2</v>
      </c>
      <c r="BP23" s="278">
        <f t="shared" si="177"/>
        <v>1.0369333333333329E-2</v>
      </c>
      <c r="BQ23" s="284">
        <f t="shared" si="178"/>
        <v>-5.6098273669565255E-2</v>
      </c>
      <c r="BR23" s="276">
        <f t="shared" si="179"/>
        <v>-4.7415805449275372E-2</v>
      </c>
      <c r="BS23" s="277">
        <f t="shared" si="14"/>
        <v>-3.42822783536232E-2</v>
      </c>
      <c r="BT23" s="278">
        <f t="shared" si="180"/>
        <v>1.0369333333333329E-2</v>
      </c>
      <c r="BU23" s="284">
        <f t="shared" si="181"/>
        <v>-5.6098273669565199E-2</v>
      </c>
      <c r="BV23" s="276">
        <f t="shared" si="182"/>
        <v>-4.7415805449275351E-2</v>
      </c>
      <c r="BW23" s="278">
        <f t="shared" si="15"/>
        <v>-3.4282278353623179E-2</v>
      </c>
      <c r="BX23" s="391">
        <f t="shared" si="46"/>
        <v>-2.2790352941176456E-2</v>
      </c>
      <c r="BY23" s="392">
        <f t="shared" si="47"/>
        <v>-0.1371291134144928</v>
      </c>
      <c r="BZ23" s="278"/>
      <c r="CB23" s="279">
        <f t="shared" si="183"/>
        <v>-0.42600681419339204</v>
      </c>
      <c r="CC23" s="64">
        <f t="shared" si="17"/>
        <v>-0.43765830631138009</v>
      </c>
      <c r="CD23" s="64">
        <f t="shared" si="18"/>
        <v>-0.44930979842936813</v>
      </c>
      <c r="CE23" s="64">
        <f t="shared" si="19"/>
        <v>-0.47322274344965798</v>
      </c>
      <c r="CF23" s="64">
        <f t="shared" si="20"/>
        <v>-0.49713568846994782</v>
      </c>
      <c r="CG23" s="64">
        <f t="shared" si="21"/>
        <v>-0.52104863349023767</v>
      </c>
      <c r="CH23" s="64">
        <f t="shared" si="22"/>
        <v>-0.54496157851052751</v>
      </c>
      <c r="CI23">
        <v>2033</v>
      </c>
      <c r="CJ23" s="240"/>
      <c r="CL23">
        <v>2033</v>
      </c>
      <c r="CM23" s="3">
        <f t="shared" si="48"/>
        <v>0.95</v>
      </c>
      <c r="CN23" s="64">
        <f t="shared" si="23"/>
        <v>0.93751999999999991</v>
      </c>
      <c r="CO23" s="64">
        <f t="shared" si="23"/>
        <v>0.93476999999999988</v>
      </c>
      <c r="CP23" s="64">
        <f t="shared" si="23"/>
        <v>0.9269815384615383</v>
      </c>
      <c r="CQ23" s="64">
        <f t="shared" si="23"/>
        <v>0.8684815384615383</v>
      </c>
      <c r="CR23" s="64">
        <f t="shared" si="24"/>
        <v>0.84665672094329014</v>
      </c>
      <c r="CS23" s="64">
        <f t="shared" si="24"/>
        <v>0.80142557739097875</v>
      </c>
      <c r="CT23" s="64">
        <f t="shared" si="24"/>
        <v>0.58887083286543129</v>
      </c>
      <c r="CU23" s="64">
        <f t="shared" si="25"/>
        <v>0.52399318580660781</v>
      </c>
      <c r="CV23" s="64">
        <f t="shared" si="25"/>
        <v>0.5294828328654313</v>
      </c>
      <c r="CW23" s="65">
        <f t="shared" si="49"/>
        <v>0.5123416936886197</v>
      </c>
      <c r="CX23" s="64">
        <f t="shared" si="50"/>
        <v>0.53497247992425478</v>
      </c>
      <c r="CY23" s="65">
        <f t="shared" si="51"/>
        <v>0.5006902015706316</v>
      </c>
      <c r="CZ23" s="64">
        <f t="shared" si="52"/>
        <v>0.54534181325758813</v>
      </c>
      <c r="DA23" s="65">
        <f t="shared" si="53"/>
        <v>0.47677725655034175</v>
      </c>
      <c r="DB23" s="64">
        <f t="shared" si="54"/>
        <v>0.55571114659092147</v>
      </c>
      <c r="DC23" s="65">
        <f t="shared" si="55"/>
        <v>0.45286431153005191</v>
      </c>
      <c r="DD23" s="64">
        <f t="shared" si="56"/>
        <v>0.56608047992425481</v>
      </c>
      <c r="DE23" s="65">
        <f t="shared" si="57"/>
        <v>0.42895136650976207</v>
      </c>
      <c r="DF23" s="64">
        <f t="shared" si="58"/>
        <v>0.57644981325758815</v>
      </c>
      <c r="DG23" s="65">
        <f t="shared" si="59"/>
        <v>0.40503842148947222</v>
      </c>
      <c r="DL23">
        <v>2033</v>
      </c>
      <c r="DM23" s="64">
        <f t="shared" si="60"/>
        <v>0.40503842148947222</v>
      </c>
      <c r="DN23" s="64">
        <f t="shared" si="61"/>
        <v>0.42895136650976207</v>
      </c>
      <c r="DO23" s="64">
        <f t="shared" si="62"/>
        <v>0.45286431153005191</v>
      </c>
      <c r="DP23" s="64">
        <f t="shared" si="63"/>
        <v>0.47677725655034175</v>
      </c>
      <c r="DQ23" s="64">
        <f t="shared" si="64"/>
        <v>0.5006902015706316</v>
      </c>
      <c r="DR23" s="64">
        <f t="shared" si="65"/>
        <v>0.5123416936886197</v>
      </c>
      <c r="DS23" s="64">
        <f t="shared" si="26"/>
        <v>0.52399318580660781</v>
      </c>
      <c r="DT23" s="64">
        <f t="shared" si="27"/>
        <v>0.58887083286543129</v>
      </c>
      <c r="DU23" s="64">
        <f t="shared" si="28"/>
        <v>0.80142557739097875</v>
      </c>
      <c r="DV23" s="64">
        <f t="shared" si="29"/>
        <v>0.84665672094329014</v>
      </c>
      <c r="DW23" s="64">
        <f t="shared" si="30"/>
        <v>0.8684815384615383</v>
      </c>
      <c r="DX23" s="64">
        <f t="shared" si="31"/>
        <v>0.9269815384615383</v>
      </c>
      <c r="DY23" s="64">
        <f t="shared" si="32"/>
        <v>0.93476999999999988</v>
      </c>
      <c r="DZ23" s="64">
        <f t="shared" si="33"/>
        <v>0.93751999999999991</v>
      </c>
      <c r="EA23" s="3">
        <f t="shared" si="66"/>
        <v>0.95</v>
      </c>
      <c r="EB23">
        <v>2033</v>
      </c>
      <c r="EC23" s="269">
        <f t="shared" si="67"/>
        <v>0.40503842148947222</v>
      </c>
      <c r="ED23" s="269">
        <f t="shared" si="68"/>
        <v>0.05</v>
      </c>
      <c r="EE23" s="64">
        <f t="shared" si="34"/>
        <v>2.3912945020289844E-2</v>
      </c>
      <c r="EF23" s="64">
        <f t="shared" si="34"/>
        <v>2.3912945020289844E-2</v>
      </c>
      <c r="EG23" s="64">
        <f t="shared" si="34"/>
        <v>2.3912945020289844E-2</v>
      </c>
      <c r="EH23" s="64">
        <f t="shared" si="34"/>
        <v>2.3912945020289844E-2</v>
      </c>
      <c r="EI23" s="64">
        <f t="shared" si="34"/>
        <v>1.1651492117988105E-2</v>
      </c>
      <c r="EJ23" s="64">
        <f t="shared" si="34"/>
        <v>1.1651492117988105E-2</v>
      </c>
      <c r="EK23" s="64">
        <f t="shared" si="34"/>
        <v>6.4877647058823484E-2</v>
      </c>
      <c r="EL23" s="64">
        <f t="shared" si="34"/>
        <v>0.21255474452554746</v>
      </c>
      <c r="EM23" s="64">
        <f t="shared" si="34"/>
        <v>4.5231143552311392E-2</v>
      </c>
      <c r="EN23" s="64">
        <f t="shared" si="34"/>
        <v>2.1824817518248163E-2</v>
      </c>
      <c r="EO23" s="64">
        <f t="shared" si="34"/>
        <v>5.8499999999999996E-2</v>
      </c>
      <c r="EP23" s="64">
        <f t="shared" si="34"/>
        <v>7.7884615384615774E-3</v>
      </c>
      <c r="EQ23" s="64">
        <f t="shared" si="34"/>
        <v>2.7500000000000302E-3</v>
      </c>
      <c r="ER23" s="64">
        <f t="shared" si="34"/>
        <v>1.2480000000000047E-2</v>
      </c>
      <c r="EX23" s="89">
        <v>2033</v>
      </c>
      <c r="EY23" s="278">
        <f t="shared" si="69"/>
        <v>0.99333333333333329</v>
      </c>
      <c r="EZ23" s="278"/>
      <c r="FA23" s="278">
        <f t="shared" si="70"/>
        <v>0.42475675308734939</v>
      </c>
      <c r="FB23" s="278">
        <f t="shared" si="35"/>
        <v>0.05</v>
      </c>
      <c r="FC23" s="64">
        <f t="shared" si="71"/>
        <v>0.17883921874473432</v>
      </c>
      <c r="FD23" s="64">
        <f t="shared" si="72"/>
        <v>1.295926379084966E-2</v>
      </c>
      <c r="FE23" s="64">
        <f t="shared" si="73"/>
        <v>0.22176545012165449</v>
      </c>
      <c r="FF23" s="64">
        <f t="shared" si="74"/>
        <v>4.7191159772911551E-2</v>
      </c>
      <c r="FG23" s="64">
        <f t="shared" si="75"/>
        <v>2.2770559610705583E-2</v>
      </c>
      <c r="FH23" s="64">
        <f t="shared" si="76"/>
        <v>6.1034999999999992E-2</v>
      </c>
      <c r="FI23" s="64">
        <f t="shared" si="77"/>
        <v>8.1259615384615784E-3</v>
      </c>
      <c r="FJ23" s="64">
        <f t="shared" si="78"/>
        <v>2.8691666666666978E-3</v>
      </c>
      <c r="FK23" s="280">
        <f t="shared" si="79"/>
        <v>1.3020800000000048E-2</v>
      </c>
      <c r="FL23" s="64"/>
      <c r="FM23" s="89">
        <v>2033</v>
      </c>
      <c r="FN23" s="278">
        <f t="shared" si="80"/>
        <v>0.99333333333333329</v>
      </c>
      <c r="FP23" s="278">
        <f t="shared" si="81"/>
        <v>0.44970592572518509</v>
      </c>
      <c r="FQ23" s="278">
        <f t="shared" si="82"/>
        <v>0.05</v>
      </c>
      <c r="FR23" s="64">
        <f t="shared" si="83"/>
        <v>0.14307137499578748</v>
      </c>
      <c r="FS23" s="64">
        <f t="shared" si="84"/>
        <v>2.3777934901960767E-2</v>
      </c>
      <c r="FT23" s="64">
        <f t="shared" si="85"/>
        <v>0.22176545012165449</v>
      </c>
      <c r="FU23" s="64">
        <f t="shared" si="86"/>
        <v>4.7191159772911551E-2</v>
      </c>
      <c r="FV23" s="64">
        <f t="shared" si="87"/>
        <v>2.2770559610705583E-2</v>
      </c>
      <c r="FW23" s="64">
        <f t="shared" si="88"/>
        <v>6.1034999999999992E-2</v>
      </c>
      <c r="FX23" s="64">
        <f t="shared" si="89"/>
        <v>8.1259615384615784E-3</v>
      </c>
      <c r="FY23" s="64">
        <f t="shared" si="90"/>
        <v>2.8691666666666978E-3</v>
      </c>
      <c r="FZ23" s="280">
        <f t="shared" si="91"/>
        <v>1.3020800000000048E-2</v>
      </c>
      <c r="GA23" s="64"/>
      <c r="GB23" s="89">
        <v>2033</v>
      </c>
      <c r="GC23" s="278">
        <f t="shared" si="92"/>
        <v>0.99333333333333329</v>
      </c>
      <c r="GE23" s="278">
        <f t="shared" si="93"/>
        <v>0.47465509836302089</v>
      </c>
      <c r="GF23" s="278">
        <f t="shared" si="94"/>
        <v>0.05</v>
      </c>
      <c r="GG23" s="64">
        <f t="shared" si="95"/>
        <v>0.10730353124684058</v>
      </c>
      <c r="GH23" s="64">
        <f t="shared" si="96"/>
        <v>3.4596606013071872E-2</v>
      </c>
      <c r="GI23" s="64">
        <f t="shared" si="97"/>
        <v>0.22176545012165449</v>
      </c>
      <c r="GJ23" s="64">
        <f t="shared" si="98"/>
        <v>4.7191159772911551E-2</v>
      </c>
      <c r="GK23" s="64">
        <f t="shared" si="99"/>
        <v>2.2770559610705583E-2</v>
      </c>
      <c r="GL23" s="64">
        <f t="shared" si="100"/>
        <v>6.1034999999999992E-2</v>
      </c>
      <c r="GM23" s="64">
        <f t="shared" si="101"/>
        <v>8.1259615384615784E-3</v>
      </c>
      <c r="GN23" s="64">
        <f t="shared" si="102"/>
        <v>2.8691666666666978E-3</v>
      </c>
      <c r="GO23" s="280">
        <f t="shared" si="103"/>
        <v>1.3020800000000048E-2</v>
      </c>
      <c r="GP23" s="64"/>
      <c r="GQ23" s="89">
        <v>2033</v>
      </c>
      <c r="GR23" s="278">
        <f t="shared" si="104"/>
        <v>0.99333333333333329</v>
      </c>
      <c r="GT23" s="278">
        <f t="shared" si="105"/>
        <v>0.49960427100085669</v>
      </c>
      <c r="GU23" s="278">
        <f t="shared" si="106"/>
        <v>0.05</v>
      </c>
      <c r="GV23" s="64">
        <f t="shared" si="107"/>
        <v>7.1535687497893741E-2</v>
      </c>
      <c r="GW23" s="64">
        <f t="shared" si="108"/>
        <v>4.5415277124182973E-2</v>
      </c>
      <c r="GX23" s="64">
        <f t="shared" si="109"/>
        <v>0.22176545012165449</v>
      </c>
      <c r="GY23" s="64">
        <f t="shared" si="110"/>
        <v>4.7191159772911551E-2</v>
      </c>
      <c r="GZ23" s="64">
        <f t="shared" si="111"/>
        <v>2.2770559610705583E-2</v>
      </c>
      <c r="HA23" s="64">
        <f t="shared" si="112"/>
        <v>6.1034999999999992E-2</v>
      </c>
      <c r="HB23" s="64">
        <f t="shared" si="113"/>
        <v>8.1259615384615784E-3</v>
      </c>
      <c r="HC23" s="64">
        <f t="shared" si="114"/>
        <v>2.8691666666666978E-3</v>
      </c>
      <c r="HD23" s="280">
        <f t="shared" si="115"/>
        <v>1.3020800000000048E-2</v>
      </c>
      <c r="HE23" s="64"/>
      <c r="HF23" s="89">
        <v>2033</v>
      </c>
      <c r="HG23" s="278">
        <f t="shared" si="116"/>
        <v>0.99333333333333329</v>
      </c>
      <c r="HI23" s="278">
        <f t="shared" si="117"/>
        <v>0.52455344363869238</v>
      </c>
      <c r="HJ23" s="278">
        <f t="shared" si="118"/>
        <v>0.05</v>
      </c>
      <c r="HK23" s="64">
        <f t="shared" si="119"/>
        <v>3.5767843748946856E-2</v>
      </c>
      <c r="HL23" s="64">
        <f t="shared" si="120"/>
        <v>5.6233948235294082E-2</v>
      </c>
      <c r="HM23" s="64">
        <f t="shared" si="121"/>
        <v>0.22176545012165449</v>
      </c>
      <c r="HN23" s="64">
        <f t="shared" si="122"/>
        <v>4.7191159772911551E-2</v>
      </c>
      <c r="HO23" s="64">
        <f t="shared" si="123"/>
        <v>2.2770559610705583E-2</v>
      </c>
      <c r="HP23" s="64">
        <f t="shared" si="124"/>
        <v>6.1034999999999992E-2</v>
      </c>
      <c r="HQ23" s="64">
        <f t="shared" si="125"/>
        <v>8.1259615384615784E-3</v>
      </c>
      <c r="HR23" s="64">
        <f t="shared" si="126"/>
        <v>2.8691666666666978E-3</v>
      </c>
      <c r="HS23" s="280">
        <f t="shared" si="127"/>
        <v>1.3020800000000048E-2</v>
      </c>
      <c r="HT23" s="64"/>
      <c r="HU23" s="89">
        <v>2033</v>
      </c>
      <c r="HV23" s="278">
        <f t="shared" si="128"/>
        <v>0.99333333333333329</v>
      </c>
      <c r="HX23" s="278">
        <f t="shared" si="129"/>
        <v>0.53670983374846004</v>
      </c>
      <c r="HY23" s="278">
        <f t="shared" si="130"/>
        <v>0.05</v>
      </c>
      <c r="HZ23" s="64">
        <f t="shared" si="131"/>
        <v>1.7883921874473411E-2</v>
      </c>
      <c r="IA23" s="64">
        <f t="shared" si="132"/>
        <v>6.1961479999999958E-2</v>
      </c>
      <c r="IB23" s="64">
        <f t="shared" si="133"/>
        <v>0.22176545012165449</v>
      </c>
      <c r="IC23" s="64">
        <f t="shared" si="134"/>
        <v>4.7191159772911551E-2</v>
      </c>
      <c r="ID23" s="64">
        <f t="shared" si="135"/>
        <v>2.2770559610705583E-2</v>
      </c>
      <c r="IE23" s="64">
        <f t="shared" si="136"/>
        <v>6.1034999999999992E-2</v>
      </c>
      <c r="IF23" s="64">
        <f t="shared" si="137"/>
        <v>8.1259615384615784E-3</v>
      </c>
      <c r="IG23" s="64">
        <f t="shared" si="138"/>
        <v>2.8691666666666978E-3</v>
      </c>
      <c r="IH23" s="280">
        <f t="shared" si="139"/>
        <v>1.3020800000000048E-2</v>
      </c>
      <c r="II23" s="64"/>
      <c r="IJ23" s="89">
        <v>2033</v>
      </c>
      <c r="IK23" s="278">
        <f t="shared" si="140"/>
        <v>0.99333333333333329</v>
      </c>
      <c r="IM23" s="278">
        <f t="shared" si="141"/>
        <v>0.54886622385822748</v>
      </c>
      <c r="IN23" s="278">
        <f t="shared" si="142"/>
        <v>0.05</v>
      </c>
      <c r="IO23" s="64">
        <v>0</v>
      </c>
      <c r="IP23" s="64">
        <f t="shared" si="143"/>
        <v>6.7689011764705848E-2</v>
      </c>
      <c r="IQ23" s="64">
        <f t="shared" si="144"/>
        <v>0.22176545012165449</v>
      </c>
      <c r="IR23" s="64">
        <f t="shared" si="145"/>
        <v>4.7191159772911551E-2</v>
      </c>
      <c r="IS23" s="64">
        <f t="shared" si="146"/>
        <v>2.2770559610705583E-2</v>
      </c>
      <c r="IT23" s="64">
        <f t="shared" si="147"/>
        <v>6.1034999999999992E-2</v>
      </c>
      <c r="IU23" s="64">
        <f t="shared" si="148"/>
        <v>8.1259615384615784E-3</v>
      </c>
      <c r="IV23" s="64">
        <f t="shared" si="149"/>
        <v>2.8691666666666978E-3</v>
      </c>
      <c r="IW23" s="280">
        <f t="shared" si="150"/>
        <v>1.3020800000000048E-2</v>
      </c>
      <c r="IX23" s="3">
        <f t="shared" si="151"/>
        <v>0.39749999999999908</v>
      </c>
      <c r="IY23">
        <f t="shared" si="36"/>
        <v>2033</v>
      </c>
      <c r="IZ23" s="3">
        <f t="shared" si="152"/>
        <v>10.550491190178464</v>
      </c>
      <c r="JA23" s="353">
        <f>HLOOKUP($JG$3,'Timing calculations'!JH$8:JT$39,16,FALSE)</f>
        <v>10.552858396729214</v>
      </c>
      <c r="JB23" s="3">
        <f t="shared" si="153"/>
        <v>13.603333333333333</v>
      </c>
      <c r="JC23" s="353">
        <f t="shared" si="154"/>
        <v>14.319298245614036</v>
      </c>
      <c r="JD23" s="418">
        <f t="shared" si="37"/>
        <v>0.39749999999999974</v>
      </c>
      <c r="JE23" s="368">
        <f t="shared" si="155"/>
        <v>8.944999999999995</v>
      </c>
      <c r="JF23" s="369">
        <f t="shared" si="156"/>
        <v>9.4157894736842049</v>
      </c>
      <c r="JG23" s="363">
        <f t="shared" si="157"/>
        <v>9.8929521259569437</v>
      </c>
      <c r="JH23" s="362">
        <f t="shared" si="38"/>
        <v>10.413633816796784</v>
      </c>
      <c r="JI23" s="366">
        <f t="shared" si="39"/>
        <v>10.025215476892752</v>
      </c>
      <c r="JJ23" s="367">
        <f t="shared" si="9"/>
        <v>10.552858396729214</v>
      </c>
      <c r="JK23" s="363">
        <f t="shared" si="40"/>
        <v>10.157478827828559</v>
      </c>
      <c r="JL23" s="362">
        <f t="shared" si="41"/>
        <v>10.692082976661641</v>
      </c>
      <c r="JM23" s="366">
        <f t="shared" si="158"/>
        <v>10.289742178764367</v>
      </c>
      <c r="JN23" s="367">
        <f t="shared" si="42"/>
        <v>10.831307556594071</v>
      </c>
      <c r="JO23" s="363">
        <f t="shared" si="159"/>
        <v>10.422005529700174</v>
      </c>
      <c r="JP23" s="362">
        <f t="shared" si="43"/>
        <v>10.970532136526499</v>
      </c>
      <c r="JQ23" s="366">
        <f t="shared" si="160"/>
        <v>10.486248359939321</v>
      </c>
      <c r="JR23" s="367">
        <f t="shared" si="44"/>
        <v>11.03815616835718</v>
      </c>
      <c r="JS23" s="363">
        <f t="shared" si="161"/>
        <v>10.550491190178464</v>
      </c>
      <c r="JT23" s="362">
        <f t="shared" si="45"/>
        <v>11.105780200187857</v>
      </c>
    </row>
    <row r="24" spans="1:282" ht="26.5" customHeight="1">
      <c r="A24" s="690" t="s">
        <v>105</v>
      </c>
      <c r="B24" s="690"/>
      <c r="C24" s="690"/>
      <c r="D24" s="690"/>
      <c r="E24" s="690"/>
      <c r="F24" s="690"/>
      <c r="G24" s="6"/>
      <c r="H24" s="300"/>
      <c r="J24" s="301"/>
      <c r="AO24" s="89">
        <v>2034</v>
      </c>
      <c r="AP24" s="170">
        <f t="shared" si="162"/>
        <v>-1.3440000000000004E-2</v>
      </c>
      <c r="AQ24" s="170">
        <f t="shared" si="162"/>
        <v>-3.0000000000000014E-3</v>
      </c>
      <c r="AR24" s="170">
        <f t="shared" si="162"/>
        <v>-8.6538461538461526E-3</v>
      </c>
      <c r="AS24" s="170">
        <f t="shared" si="162"/>
        <v>-6.3000000000000028E-2</v>
      </c>
      <c r="AU24" s="170">
        <f t="shared" si="163"/>
        <v>-2.3503649635036497E-2</v>
      </c>
      <c r="AV24" s="170">
        <f t="shared" si="163"/>
        <v>-4.8710462287104621E-2</v>
      </c>
      <c r="AW24" s="170">
        <f t="shared" si="163"/>
        <v>-0.22890510948905105</v>
      </c>
      <c r="AY24" s="170">
        <f t="shared" si="164"/>
        <v>-6.986823529411762E-2</v>
      </c>
      <c r="AZ24" s="278">
        <f t="shared" si="165"/>
        <v>5.9887058823529385E-3</v>
      </c>
      <c r="BA24" s="284">
        <f t="shared" si="166"/>
        <v>-2.8681231721739107E-2</v>
      </c>
      <c r="BB24" s="276">
        <f t="shared" si="167"/>
        <v>-2.5863166608695639E-2</v>
      </c>
      <c r="BC24" s="277">
        <f t="shared" si="10"/>
        <v>-1.9120821147826074E-2</v>
      </c>
      <c r="BD24" s="278">
        <f t="shared" si="168"/>
        <v>5.9887058823529385E-3</v>
      </c>
      <c r="BE24" s="284">
        <f t="shared" si="169"/>
        <v>-2.8681231721739149E-2</v>
      </c>
      <c r="BF24" s="276">
        <f t="shared" si="170"/>
        <v>-2.5863166608695639E-2</v>
      </c>
      <c r="BG24" s="277">
        <f t="shared" si="11"/>
        <v>-1.9120821147826102E-2</v>
      </c>
      <c r="BH24" s="278">
        <f t="shared" si="171"/>
        <v>1.1311999999999996E-2</v>
      </c>
      <c r="BI24" s="284">
        <f t="shared" si="172"/>
        <v>-5.7362463443478284E-2</v>
      </c>
      <c r="BJ24" s="276">
        <f t="shared" si="173"/>
        <v>-5.1726333217391361E-2</v>
      </c>
      <c r="BK24" s="277">
        <f t="shared" si="12"/>
        <v>-3.8241642295652203E-2</v>
      </c>
      <c r="BL24" s="278">
        <f t="shared" si="174"/>
        <v>1.1311999999999996E-2</v>
      </c>
      <c r="BM24" s="284">
        <f t="shared" si="175"/>
        <v>-5.7362463443478243E-2</v>
      </c>
      <c r="BN24" s="276">
        <f t="shared" si="176"/>
        <v>-5.1726333217391264E-2</v>
      </c>
      <c r="BO24" s="277">
        <f t="shared" si="13"/>
        <v>-3.8241642295652169E-2</v>
      </c>
      <c r="BP24" s="278">
        <f t="shared" si="177"/>
        <v>1.1311999999999996E-2</v>
      </c>
      <c r="BQ24" s="284">
        <f t="shared" si="178"/>
        <v>-5.7362463443478298E-2</v>
      </c>
      <c r="BR24" s="276">
        <f t="shared" si="179"/>
        <v>-5.1726333217391313E-2</v>
      </c>
      <c r="BS24" s="277">
        <f t="shared" si="14"/>
        <v>-3.824164229565219E-2</v>
      </c>
      <c r="BT24" s="278">
        <f t="shared" si="180"/>
        <v>1.1311999999999996E-2</v>
      </c>
      <c r="BU24" s="284">
        <f t="shared" si="181"/>
        <v>-5.7362463443478243E-2</v>
      </c>
      <c r="BV24" s="276">
        <f t="shared" si="182"/>
        <v>-5.1726333217391292E-2</v>
      </c>
      <c r="BW24" s="278">
        <f t="shared" si="15"/>
        <v>-3.8241642295652162E-2</v>
      </c>
      <c r="BX24" s="391">
        <f t="shared" si="46"/>
        <v>-2.3954823529411758E-2</v>
      </c>
      <c r="BY24" s="392">
        <f t="shared" si="47"/>
        <v>-0.15296656918260873</v>
      </c>
      <c r="BZ24" s="278"/>
      <c r="CB24" s="279">
        <f t="shared" si="183"/>
        <v>-0.45908130285915599</v>
      </c>
      <c r="CC24" s="64">
        <f t="shared" si="17"/>
        <v>-0.47221341812462914</v>
      </c>
      <c r="CD24" s="64">
        <f t="shared" si="18"/>
        <v>-0.48534553339010228</v>
      </c>
      <c r="CE24" s="64">
        <f t="shared" si="19"/>
        <v>-0.51227517568575454</v>
      </c>
      <c r="CF24" s="64">
        <f t="shared" si="20"/>
        <v>-0.53920481798140674</v>
      </c>
      <c r="CG24" s="64">
        <f t="shared" si="21"/>
        <v>-0.56613446027705894</v>
      </c>
      <c r="CH24" s="64">
        <f t="shared" si="22"/>
        <v>-0.59306410257271114</v>
      </c>
      <c r="CI24">
        <v>2034</v>
      </c>
      <c r="CJ24" s="240"/>
      <c r="CL24">
        <v>2034</v>
      </c>
      <c r="CM24" s="3">
        <f t="shared" si="48"/>
        <v>0.95</v>
      </c>
      <c r="CN24" s="64">
        <f t="shared" si="23"/>
        <v>0.93655999999999995</v>
      </c>
      <c r="CO24" s="64">
        <f t="shared" si="23"/>
        <v>0.93355999999999995</v>
      </c>
      <c r="CP24" s="64">
        <f t="shared" si="23"/>
        <v>0.92490615384615382</v>
      </c>
      <c r="CQ24" s="64">
        <f t="shared" si="23"/>
        <v>0.86190615384615377</v>
      </c>
      <c r="CR24" s="64">
        <f t="shared" si="24"/>
        <v>0.83840250421111728</v>
      </c>
      <c r="CS24" s="64">
        <f t="shared" si="24"/>
        <v>0.78969204192401266</v>
      </c>
      <c r="CT24" s="64">
        <f t="shared" si="24"/>
        <v>0.56078693243496158</v>
      </c>
      <c r="CU24" s="64">
        <f t="shared" si="25"/>
        <v>0.49091869714084396</v>
      </c>
      <c r="CV24" s="64">
        <f t="shared" si="25"/>
        <v>0.49690740302319691</v>
      </c>
      <c r="CW24" s="65">
        <f t="shared" si="49"/>
        <v>0.47778658187537082</v>
      </c>
      <c r="CX24" s="64">
        <f t="shared" si="50"/>
        <v>0.50289610890554981</v>
      </c>
      <c r="CY24" s="65">
        <f t="shared" si="51"/>
        <v>0.46465446660989762</v>
      </c>
      <c r="CZ24" s="64">
        <f t="shared" si="52"/>
        <v>0.5142081089055498</v>
      </c>
      <c r="DA24" s="65">
        <f t="shared" si="53"/>
        <v>0.43772482431424542</v>
      </c>
      <c r="DB24" s="64">
        <f t="shared" si="54"/>
        <v>0.52552010890554979</v>
      </c>
      <c r="DC24" s="65">
        <f t="shared" si="55"/>
        <v>0.41079518201859322</v>
      </c>
      <c r="DD24" s="64">
        <f t="shared" si="56"/>
        <v>0.53683210890554978</v>
      </c>
      <c r="DE24" s="65">
        <f t="shared" si="57"/>
        <v>0.38386553972294102</v>
      </c>
      <c r="DF24" s="64">
        <f t="shared" si="58"/>
        <v>0.54814410890554977</v>
      </c>
      <c r="DG24" s="65">
        <f t="shared" si="59"/>
        <v>0.35693589742728882</v>
      </c>
      <c r="DL24">
        <v>2034</v>
      </c>
      <c r="DM24" s="64">
        <f t="shared" si="60"/>
        <v>0.35693589742728882</v>
      </c>
      <c r="DN24" s="64">
        <f t="shared" si="61"/>
        <v>0.38386553972294102</v>
      </c>
      <c r="DO24" s="64">
        <f t="shared" si="62"/>
        <v>0.41079518201859322</v>
      </c>
      <c r="DP24" s="64">
        <f t="shared" si="63"/>
        <v>0.43772482431424542</v>
      </c>
      <c r="DQ24" s="64">
        <f t="shared" si="64"/>
        <v>0.46465446660989762</v>
      </c>
      <c r="DR24" s="64">
        <f t="shared" si="65"/>
        <v>0.47778658187537082</v>
      </c>
      <c r="DS24" s="64">
        <f t="shared" si="26"/>
        <v>0.49091869714084396</v>
      </c>
      <c r="DT24" s="64">
        <f t="shared" si="27"/>
        <v>0.56078693243496158</v>
      </c>
      <c r="DU24" s="64">
        <f t="shared" si="28"/>
        <v>0.78969204192401266</v>
      </c>
      <c r="DV24" s="64">
        <f t="shared" si="29"/>
        <v>0.83840250421111728</v>
      </c>
      <c r="DW24" s="64">
        <f t="shared" si="30"/>
        <v>0.86190615384615377</v>
      </c>
      <c r="DX24" s="64">
        <f t="shared" si="31"/>
        <v>0.92490615384615382</v>
      </c>
      <c r="DY24" s="64">
        <f t="shared" si="32"/>
        <v>0.93355999999999995</v>
      </c>
      <c r="DZ24" s="64">
        <f t="shared" si="33"/>
        <v>0.93655999999999995</v>
      </c>
      <c r="EA24" s="3">
        <f t="shared" si="66"/>
        <v>0.95</v>
      </c>
      <c r="EB24">
        <v>2034</v>
      </c>
      <c r="EC24" s="269">
        <f t="shared" si="67"/>
        <v>0.35693589742728882</v>
      </c>
      <c r="ED24" s="269">
        <f t="shared" si="68"/>
        <v>0.05</v>
      </c>
      <c r="EE24" s="64">
        <f t="shared" si="34"/>
        <v>2.6929642295652201E-2</v>
      </c>
      <c r="EF24" s="64">
        <f t="shared" si="34"/>
        <v>2.6929642295652201E-2</v>
      </c>
      <c r="EG24" s="64">
        <f t="shared" si="34"/>
        <v>2.6929642295652201E-2</v>
      </c>
      <c r="EH24" s="64">
        <f t="shared" si="34"/>
        <v>2.6929642295652201E-2</v>
      </c>
      <c r="EI24" s="64">
        <f t="shared" si="34"/>
        <v>1.3132115265473199E-2</v>
      </c>
      <c r="EJ24" s="64">
        <f t="shared" si="34"/>
        <v>1.3132115265473143E-2</v>
      </c>
      <c r="EK24" s="64">
        <f t="shared" si="34"/>
        <v>6.986823529411762E-2</v>
      </c>
      <c r="EL24" s="64">
        <f t="shared" si="34"/>
        <v>0.22890510948905107</v>
      </c>
      <c r="EM24" s="64">
        <f t="shared" si="34"/>
        <v>4.8710462287104628E-2</v>
      </c>
      <c r="EN24" s="64">
        <f t="shared" si="34"/>
        <v>2.3503649635036483E-2</v>
      </c>
      <c r="EO24" s="64">
        <f t="shared" si="34"/>
        <v>6.3000000000000056E-2</v>
      </c>
      <c r="EP24" s="64">
        <f t="shared" si="34"/>
        <v>8.6538461538461231E-3</v>
      </c>
      <c r="EQ24" s="64">
        <f t="shared" si="34"/>
        <v>3.0000000000000027E-3</v>
      </c>
      <c r="ER24" s="64">
        <f t="shared" si="34"/>
        <v>1.3440000000000007E-2</v>
      </c>
      <c r="EX24" s="89">
        <v>2034</v>
      </c>
      <c r="EY24" s="278">
        <f t="shared" si="69"/>
        <v>0.99666666666666659</v>
      </c>
      <c r="EZ24" s="278"/>
      <c r="FA24" s="278">
        <f t="shared" si="70"/>
        <v>0.37592623930722902</v>
      </c>
      <c r="FB24" s="278">
        <f t="shared" si="35"/>
        <v>0.05</v>
      </c>
      <c r="FC24" s="64">
        <f t="shared" si="71"/>
        <v>0.2001312613472464</v>
      </c>
      <c r="FD24" s="64">
        <f t="shared" si="72"/>
        <v>1.323282196078431E-2</v>
      </c>
      <c r="FE24" s="64">
        <f t="shared" si="73"/>
        <v>0.23958734793187345</v>
      </c>
      <c r="FF24" s="64">
        <f t="shared" si="74"/>
        <v>5.0983617193836178E-2</v>
      </c>
      <c r="FG24" s="64">
        <f t="shared" si="75"/>
        <v>2.460048661800485E-2</v>
      </c>
      <c r="FH24" s="64">
        <f t="shared" si="76"/>
        <v>6.5940000000000054E-2</v>
      </c>
      <c r="FI24" s="64">
        <f t="shared" si="77"/>
        <v>9.0576923076922753E-3</v>
      </c>
      <c r="FJ24" s="64">
        <f t="shared" si="78"/>
        <v>3.1400000000000026E-3</v>
      </c>
      <c r="FK24" s="280">
        <f t="shared" si="79"/>
        <v>1.4067200000000007E-2</v>
      </c>
      <c r="FL24" s="64"/>
      <c r="FM24" s="89">
        <v>2034</v>
      </c>
      <c r="FN24" s="278">
        <f t="shared" si="80"/>
        <v>0.99666666666666659</v>
      </c>
      <c r="FP24" s="278">
        <f t="shared" si="81"/>
        <v>0.404112598243345</v>
      </c>
      <c r="FQ24" s="278">
        <f t="shared" si="82"/>
        <v>0.05</v>
      </c>
      <c r="FR24" s="64">
        <f t="shared" si="83"/>
        <v>0.16010500907779712</v>
      </c>
      <c r="FS24" s="64">
        <f t="shared" si="84"/>
        <v>2.5072715294117639E-2</v>
      </c>
      <c r="FT24" s="64">
        <f t="shared" si="85"/>
        <v>0.23958734793187345</v>
      </c>
      <c r="FU24" s="64">
        <f t="shared" si="86"/>
        <v>5.0983617193836178E-2</v>
      </c>
      <c r="FV24" s="64">
        <f t="shared" si="87"/>
        <v>2.460048661800485E-2</v>
      </c>
      <c r="FW24" s="64">
        <f t="shared" si="88"/>
        <v>6.5940000000000054E-2</v>
      </c>
      <c r="FX24" s="64">
        <f t="shared" si="89"/>
        <v>9.0576923076922753E-3</v>
      </c>
      <c r="FY24" s="64">
        <f t="shared" si="90"/>
        <v>3.1400000000000026E-3</v>
      </c>
      <c r="FZ24" s="280">
        <f t="shared" si="91"/>
        <v>1.4067200000000007E-2</v>
      </c>
      <c r="GA24" s="64"/>
      <c r="GB24" s="89">
        <v>2034</v>
      </c>
      <c r="GC24" s="278">
        <f t="shared" si="92"/>
        <v>0.99666666666666659</v>
      </c>
      <c r="GE24" s="278">
        <f t="shared" si="93"/>
        <v>0.43229895717946099</v>
      </c>
      <c r="GF24" s="278">
        <f t="shared" si="94"/>
        <v>0.05</v>
      </c>
      <c r="GG24" s="64">
        <f t="shared" si="95"/>
        <v>0.12007875680834784</v>
      </c>
      <c r="GH24" s="64">
        <f t="shared" si="96"/>
        <v>3.6912608627450966E-2</v>
      </c>
      <c r="GI24" s="64">
        <f t="shared" si="97"/>
        <v>0.23958734793187345</v>
      </c>
      <c r="GJ24" s="64">
        <f t="shared" si="98"/>
        <v>5.0983617193836178E-2</v>
      </c>
      <c r="GK24" s="64">
        <f t="shared" si="99"/>
        <v>2.460048661800485E-2</v>
      </c>
      <c r="GL24" s="64">
        <f t="shared" si="100"/>
        <v>6.5940000000000054E-2</v>
      </c>
      <c r="GM24" s="64">
        <f t="shared" si="101"/>
        <v>9.0576923076922753E-3</v>
      </c>
      <c r="GN24" s="64">
        <f t="shared" si="102"/>
        <v>3.1400000000000026E-3</v>
      </c>
      <c r="GO24" s="280">
        <f t="shared" si="103"/>
        <v>1.4067200000000007E-2</v>
      </c>
      <c r="GP24" s="64"/>
      <c r="GQ24" s="89">
        <v>2034</v>
      </c>
      <c r="GR24" s="278">
        <f t="shared" si="104"/>
        <v>0.99666666666666659</v>
      </c>
      <c r="GT24" s="278">
        <f t="shared" si="105"/>
        <v>0.46048531611557675</v>
      </c>
      <c r="GU24" s="278">
        <f t="shared" si="106"/>
        <v>0.05</v>
      </c>
      <c r="GV24" s="64">
        <f t="shared" si="107"/>
        <v>8.0052504538898575E-2</v>
      </c>
      <c r="GW24" s="64">
        <f t="shared" si="108"/>
        <v>4.8752501960784296E-2</v>
      </c>
      <c r="GX24" s="64">
        <f t="shared" si="109"/>
        <v>0.23958734793187345</v>
      </c>
      <c r="GY24" s="64">
        <f t="shared" si="110"/>
        <v>5.0983617193836178E-2</v>
      </c>
      <c r="GZ24" s="64">
        <f t="shared" si="111"/>
        <v>2.460048661800485E-2</v>
      </c>
      <c r="HA24" s="64">
        <f t="shared" si="112"/>
        <v>6.5940000000000054E-2</v>
      </c>
      <c r="HB24" s="64">
        <f t="shared" si="113"/>
        <v>9.0576923076922753E-3</v>
      </c>
      <c r="HC24" s="64">
        <f t="shared" si="114"/>
        <v>3.1400000000000026E-3</v>
      </c>
      <c r="HD24" s="280">
        <f t="shared" si="115"/>
        <v>1.4067200000000007E-2</v>
      </c>
      <c r="HE24" s="64"/>
      <c r="HF24" s="89">
        <v>2034</v>
      </c>
      <c r="HG24" s="278">
        <f t="shared" si="116"/>
        <v>0.99666666666666659</v>
      </c>
      <c r="HI24" s="278">
        <f t="shared" si="117"/>
        <v>0.48867167505169284</v>
      </c>
      <c r="HJ24" s="278">
        <f t="shared" si="118"/>
        <v>0.05</v>
      </c>
      <c r="HK24" s="64">
        <f t="shared" si="119"/>
        <v>4.0026252269449274E-2</v>
      </c>
      <c r="HL24" s="64">
        <f t="shared" si="120"/>
        <v>6.0592395294117626E-2</v>
      </c>
      <c r="HM24" s="64">
        <f t="shared" si="121"/>
        <v>0.23958734793187345</v>
      </c>
      <c r="HN24" s="64">
        <f t="shared" si="122"/>
        <v>5.0983617193836178E-2</v>
      </c>
      <c r="HO24" s="64">
        <f t="shared" si="123"/>
        <v>2.460048661800485E-2</v>
      </c>
      <c r="HP24" s="64">
        <f t="shared" si="124"/>
        <v>6.5940000000000054E-2</v>
      </c>
      <c r="HQ24" s="64">
        <f t="shared" si="125"/>
        <v>9.0576923076922753E-3</v>
      </c>
      <c r="HR24" s="64">
        <f t="shared" si="126"/>
        <v>3.1400000000000026E-3</v>
      </c>
      <c r="HS24" s="280">
        <f t="shared" si="127"/>
        <v>1.4067200000000007E-2</v>
      </c>
      <c r="HT24" s="64"/>
      <c r="HU24" s="89">
        <v>2034</v>
      </c>
      <c r="HV24" s="278">
        <f t="shared" si="128"/>
        <v>0.99666666666666659</v>
      </c>
      <c r="HX24" s="278">
        <f t="shared" si="129"/>
        <v>0.50241662236288809</v>
      </c>
      <c r="HY24" s="278">
        <f t="shared" si="130"/>
        <v>0.05</v>
      </c>
      <c r="HZ24" s="64">
        <f t="shared" si="131"/>
        <v>2.0013126134724623E-2</v>
      </c>
      <c r="IA24" s="64">
        <f t="shared" si="132"/>
        <v>6.6860574117647037E-2</v>
      </c>
      <c r="IB24" s="64">
        <f t="shared" si="133"/>
        <v>0.23958734793187345</v>
      </c>
      <c r="IC24" s="64">
        <f t="shared" si="134"/>
        <v>5.0983617193836178E-2</v>
      </c>
      <c r="ID24" s="64">
        <f t="shared" si="135"/>
        <v>2.460048661800485E-2</v>
      </c>
      <c r="IE24" s="64">
        <f t="shared" si="136"/>
        <v>6.5940000000000054E-2</v>
      </c>
      <c r="IF24" s="64">
        <f t="shared" si="137"/>
        <v>9.0576923076922753E-3</v>
      </c>
      <c r="IG24" s="64">
        <f t="shared" si="138"/>
        <v>3.1400000000000026E-3</v>
      </c>
      <c r="IH24" s="280">
        <f t="shared" si="139"/>
        <v>1.4067200000000007E-2</v>
      </c>
      <c r="II24" s="64"/>
      <c r="IJ24" s="89">
        <v>2034</v>
      </c>
      <c r="IK24" s="278">
        <f t="shared" si="140"/>
        <v>0.99666666666666659</v>
      </c>
      <c r="IM24" s="278">
        <f t="shared" si="141"/>
        <v>0.51616156967408333</v>
      </c>
      <c r="IN24" s="278">
        <f t="shared" si="142"/>
        <v>0.05</v>
      </c>
      <c r="IO24" s="64">
        <v>0</v>
      </c>
      <c r="IP24" s="64">
        <f t="shared" si="143"/>
        <v>7.3128752941176434E-2</v>
      </c>
      <c r="IQ24" s="64">
        <f t="shared" si="144"/>
        <v>0.23958734793187345</v>
      </c>
      <c r="IR24" s="64">
        <f t="shared" si="145"/>
        <v>5.0983617193836178E-2</v>
      </c>
      <c r="IS24" s="64">
        <f t="shared" si="146"/>
        <v>2.460048661800485E-2</v>
      </c>
      <c r="IT24" s="64">
        <f t="shared" si="147"/>
        <v>6.5940000000000054E-2</v>
      </c>
      <c r="IU24" s="64">
        <f t="shared" si="148"/>
        <v>9.0576923076922753E-3</v>
      </c>
      <c r="IV24" s="64">
        <f t="shared" si="149"/>
        <v>3.1400000000000026E-3</v>
      </c>
      <c r="IW24" s="280">
        <f t="shared" si="150"/>
        <v>1.4067200000000007E-2</v>
      </c>
      <c r="IX24" s="3">
        <f t="shared" si="151"/>
        <v>0.37999999999999901</v>
      </c>
      <c r="IY24">
        <f t="shared" si="36"/>
        <v>2034</v>
      </c>
      <c r="IZ24" s="3">
        <f t="shared" si="152"/>
        <v>11.066652759852548</v>
      </c>
      <c r="JA24" s="353">
        <f>HLOOKUP($JG$3,'Timing calculations'!JH$8:JT$39,17,FALSE)</f>
        <v>10.978240079090629</v>
      </c>
      <c r="JB24" s="3">
        <f t="shared" si="153"/>
        <v>14.6</v>
      </c>
      <c r="JC24" s="353">
        <f t="shared" si="154"/>
        <v>15.368421052631579</v>
      </c>
      <c r="JD24" s="418">
        <f t="shared" si="37"/>
        <v>0.37999999999999978</v>
      </c>
      <c r="JE24" s="368">
        <f t="shared" si="155"/>
        <v>9.324999999999994</v>
      </c>
      <c r="JF24" s="369">
        <f t="shared" si="156"/>
        <v>9.8157894736842053</v>
      </c>
      <c r="JG24" s="363">
        <f t="shared" si="157"/>
        <v>10.268878365264174</v>
      </c>
      <c r="JH24" s="362">
        <f t="shared" si="38"/>
        <v>10.809345647646499</v>
      </c>
      <c r="JI24" s="366">
        <f t="shared" si="39"/>
        <v>10.429328075136096</v>
      </c>
      <c r="JJ24" s="367">
        <f t="shared" si="9"/>
        <v>10.978240079090629</v>
      </c>
      <c r="JK24" s="363">
        <f t="shared" si="40"/>
        <v>10.589777785008019</v>
      </c>
      <c r="JL24" s="362">
        <f t="shared" si="41"/>
        <v>11.147134510534757</v>
      </c>
      <c r="JM24" s="366">
        <f t="shared" si="158"/>
        <v>10.750227494879944</v>
      </c>
      <c r="JN24" s="367">
        <f t="shared" si="42"/>
        <v>11.316028941978889</v>
      </c>
      <c r="JO24" s="363">
        <f t="shared" si="159"/>
        <v>10.910677204751867</v>
      </c>
      <c r="JP24" s="362">
        <f t="shared" si="43"/>
        <v>11.484923373423019</v>
      </c>
      <c r="JQ24" s="366">
        <f t="shared" si="160"/>
        <v>10.988664982302209</v>
      </c>
      <c r="JR24" s="367">
        <f t="shared" si="44"/>
        <v>11.567015770844431</v>
      </c>
      <c r="JS24" s="363">
        <f t="shared" si="161"/>
        <v>11.066652759852548</v>
      </c>
      <c r="JT24" s="362">
        <f t="shared" si="45"/>
        <v>11.64910816826584</v>
      </c>
    </row>
    <row r="25" spans="1:282">
      <c r="A25" s="259">
        <f>'1 StrategyMix for CarbonTargets'!V25</f>
        <v>0.3</v>
      </c>
      <c r="B25" s="247"/>
      <c r="C25" s="247"/>
      <c r="D25" s="247"/>
      <c r="E25" s="293"/>
      <c r="F25" s="293"/>
      <c r="G25" s="293"/>
      <c r="H25" s="297" cm="1">
        <f t="array" ref="H25">INDEX(Localise!I9:I53,MATCH(1,(A9=Localise!A9:A53)*(A25=Localise!B9:B53),0))</f>
        <v>5.3999999999999999E-2</v>
      </c>
      <c r="I25" s="298" cm="1">
        <f t="array" ref="I25">INDEX(Localise!H9:H53,MATCH(1,(A9=Localise!A9:A53)*(A25=Localise!B9:B53),0))</f>
        <v>6.0750000000000005E-2</v>
      </c>
      <c r="J25" s="299" cm="1">
        <f t="array" ref="J25">INDEX(Localise!G9:G53,MATCH(1,(A9=Localise!A9:A53)*(A25=Localise!B9:B53),0))</f>
        <v>6.7500000000000004E-2</v>
      </c>
      <c r="K25" s="5"/>
      <c r="AO25" s="89">
        <v>2035</v>
      </c>
      <c r="AP25" s="170">
        <f t="shared" si="162"/>
        <v>-1.4400000000000005E-2</v>
      </c>
      <c r="AQ25" s="170">
        <f t="shared" si="162"/>
        <v>-3.2500000000000016E-3</v>
      </c>
      <c r="AR25" s="170">
        <f t="shared" si="162"/>
        <v>-9.5192307692307677E-3</v>
      </c>
      <c r="AS25" s="170">
        <f t="shared" si="162"/>
        <v>-6.7500000000000032E-2</v>
      </c>
      <c r="AU25" s="170">
        <f t="shared" si="163"/>
        <v>-2.5182481751824817E-2</v>
      </c>
      <c r="AV25" s="170">
        <f t="shared" si="163"/>
        <v>-5.2189781021897808E-2</v>
      </c>
      <c r="AW25" s="170">
        <f t="shared" si="163"/>
        <v>-0.24525547445255469</v>
      </c>
      <c r="AY25" s="170">
        <f t="shared" si="164"/>
        <v>-7.4858823529411742E-2</v>
      </c>
      <c r="AZ25" s="278">
        <f t="shared" si="165"/>
        <v>6.48776470588235E-3</v>
      </c>
      <c r="BA25" s="284">
        <f t="shared" si="166"/>
        <v>-2.9313326608695629E-2</v>
      </c>
      <c r="BB25" s="276">
        <f t="shared" si="167"/>
        <v>-2.8018430492753609E-2</v>
      </c>
      <c r="BC25" s="277">
        <f t="shared" si="10"/>
        <v>-2.1170735884057955E-2</v>
      </c>
      <c r="BD25" s="278">
        <f t="shared" si="168"/>
        <v>6.48776470588235E-3</v>
      </c>
      <c r="BE25" s="284">
        <f t="shared" si="169"/>
        <v>-2.9313326608695671E-2</v>
      </c>
      <c r="BF25" s="276">
        <f t="shared" si="170"/>
        <v>-2.8018430492753609E-2</v>
      </c>
      <c r="BG25" s="277">
        <f t="shared" si="11"/>
        <v>-2.1170735884057986E-2</v>
      </c>
      <c r="BH25" s="278">
        <f t="shared" si="171"/>
        <v>1.2254666666666662E-2</v>
      </c>
      <c r="BI25" s="284">
        <f t="shared" si="172"/>
        <v>-5.8626653217391328E-2</v>
      </c>
      <c r="BJ25" s="276">
        <f t="shared" si="173"/>
        <v>-5.6036860985507309E-2</v>
      </c>
      <c r="BK25" s="277">
        <f t="shared" si="12"/>
        <v>-4.2341471768115965E-2</v>
      </c>
      <c r="BL25" s="278">
        <f t="shared" si="174"/>
        <v>1.2254666666666662E-2</v>
      </c>
      <c r="BM25" s="284">
        <f t="shared" si="175"/>
        <v>-5.8626653217391286E-2</v>
      </c>
      <c r="BN25" s="276">
        <f t="shared" si="176"/>
        <v>-5.6036860985507204E-2</v>
      </c>
      <c r="BO25" s="277">
        <f t="shared" si="13"/>
        <v>-4.2341471768115937E-2</v>
      </c>
      <c r="BP25" s="278">
        <f t="shared" si="177"/>
        <v>1.2254666666666662E-2</v>
      </c>
      <c r="BQ25" s="284">
        <f t="shared" si="178"/>
        <v>-5.8626653217391342E-2</v>
      </c>
      <c r="BR25" s="276">
        <f t="shared" si="179"/>
        <v>-5.6036860985507253E-2</v>
      </c>
      <c r="BS25" s="277">
        <f t="shared" si="14"/>
        <v>-4.2341471768115951E-2</v>
      </c>
      <c r="BT25" s="278">
        <f t="shared" si="180"/>
        <v>1.2254666666666662E-2</v>
      </c>
      <c r="BU25" s="284">
        <f t="shared" si="181"/>
        <v>-5.8626653217391286E-2</v>
      </c>
      <c r="BV25" s="276">
        <f t="shared" si="182"/>
        <v>-5.6036860985507232E-2</v>
      </c>
      <c r="BW25" s="278">
        <f t="shared" si="15"/>
        <v>-4.2341471768115931E-2</v>
      </c>
      <c r="BX25" s="391">
        <f t="shared" si="46"/>
        <v>-2.5119294117647052E-2</v>
      </c>
      <c r="BY25" s="392">
        <f t="shared" si="47"/>
        <v>-0.16936588707246378</v>
      </c>
      <c r="BZ25" s="278"/>
      <c r="CB25" s="279">
        <f t="shared" si="183"/>
        <v>-0.49215579152491989</v>
      </c>
      <c r="CC25" s="64">
        <f t="shared" si="17"/>
        <v>-0.50683876270309547</v>
      </c>
      <c r="CD25" s="64">
        <f t="shared" si="18"/>
        <v>-0.5215217338812711</v>
      </c>
      <c r="CE25" s="64">
        <f t="shared" si="19"/>
        <v>-0.55160853898272044</v>
      </c>
      <c r="CF25" s="64">
        <f t="shared" si="20"/>
        <v>-0.58169534408416979</v>
      </c>
      <c r="CG25" s="64">
        <f t="shared" si="21"/>
        <v>-0.61178214918561913</v>
      </c>
      <c r="CH25" s="64">
        <f t="shared" si="22"/>
        <v>-0.64186895428706847</v>
      </c>
      <c r="CI25">
        <v>2035</v>
      </c>
      <c r="CJ25" s="240"/>
      <c r="CL25">
        <v>2035</v>
      </c>
      <c r="CM25" s="3">
        <f t="shared" si="48"/>
        <v>0.95</v>
      </c>
      <c r="CN25" s="64">
        <f t="shared" si="23"/>
        <v>0.93559999999999999</v>
      </c>
      <c r="CO25" s="64">
        <f t="shared" si="23"/>
        <v>0.93235000000000001</v>
      </c>
      <c r="CP25" s="64">
        <f t="shared" si="23"/>
        <v>0.92283076923076923</v>
      </c>
      <c r="CQ25" s="64">
        <f t="shared" si="23"/>
        <v>0.85533076923076923</v>
      </c>
      <c r="CR25" s="64">
        <f t="shared" si="24"/>
        <v>0.83014828747894442</v>
      </c>
      <c r="CS25" s="64">
        <f t="shared" si="24"/>
        <v>0.77795850645704667</v>
      </c>
      <c r="CT25" s="64">
        <f t="shared" si="24"/>
        <v>0.53270303200449198</v>
      </c>
      <c r="CU25" s="64">
        <f t="shared" si="25"/>
        <v>0.45784420847508023</v>
      </c>
      <c r="CV25" s="64">
        <f t="shared" si="25"/>
        <v>0.46433197318096259</v>
      </c>
      <c r="CW25" s="65">
        <f t="shared" si="49"/>
        <v>0.44316123729690465</v>
      </c>
      <c r="CX25" s="64">
        <f t="shared" si="50"/>
        <v>0.47081973788684495</v>
      </c>
      <c r="CY25" s="65">
        <f t="shared" si="51"/>
        <v>0.42847826611872902</v>
      </c>
      <c r="CZ25" s="64">
        <f t="shared" si="52"/>
        <v>0.48307440455351158</v>
      </c>
      <c r="DA25" s="65">
        <f t="shared" si="53"/>
        <v>0.39839146101727968</v>
      </c>
      <c r="DB25" s="64">
        <f t="shared" si="54"/>
        <v>0.49532907122017822</v>
      </c>
      <c r="DC25" s="65">
        <f t="shared" si="55"/>
        <v>0.36830465591583039</v>
      </c>
      <c r="DD25" s="64">
        <f t="shared" si="56"/>
        <v>0.50758373788684485</v>
      </c>
      <c r="DE25" s="65">
        <f t="shared" si="57"/>
        <v>0.33821785081438105</v>
      </c>
      <c r="DF25" s="64">
        <f t="shared" si="58"/>
        <v>0.51983840455351149</v>
      </c>
      <c r="DG25" s="65">
        <f t="shared" si="59"/>
        <v>0.30813104571293176</v>
      </c>
      <c r="DL25">
        <v>2035</v>
      </c>
      <c r="DM25" s="64">
        <f t="shared" si="60"/>
        <v>0.30813104571293176</v>
      </c>
      <c r="DN25" s="64">
        <f t="shared" si="61"/>
        <v>0.33821785081438105</v>
      </c>
      <c r="DO25" s="64">
        <f t="shared" si="62"/>
        <v>0.36830465591583039</v>
      </c>
      <c r="DP25" s="64">
        <f t="shared" si="63"/>
        <v>0.39839146101727968</v>
      </c>
      <c r="DQ25" s="64">
        <f t="shared" si="64"/>
        <v>0.42847826611872902</v>
      </c>
      <c r="DR25" s="64">
        <f t="shared" si="65"/>
        <v>0.44316123729690465</v>
      </c>
      <c r="DS25" s="64">
        <f t="shared" si="26"/>
        <v>0.45784420847508023</v>
      </c>
      <c r="DT25" s="64">
        <f t="shared" si="27"/>
        <v>0.53270303200449198</v>
      </c>
      <c r="DU25" s="64">
        <f t="shared" si="28"/>
        <v>0.77795850645704667</v>
      </c>
      <c r="DV25" s="64">
        <f t="shared" si="29"/>
        <v>0.83014828747894442</v>
      </c>
      <c r="DW25" s="64">
        <f t="shared" si="30"/>
        <v>0.85533076923076923</v>
      </c>
      <c r="DX25" s="64">
        <f t="shared" si="31"/>
        <v>0.92283076923076923</v>
      </c>
      <c r="DY25" s="64">
        <f t="shared" si="32"/>
        <v>0.93235000000000001</v>
      </c>
      <c r="DZ25" s="64">
        <f t="shared" si="33"/>
        <v>0.93559999999999999</v>
      </c>
      <c r="EA25" s="3">
        <f t="shared" si="66"/>
        <v>0.95</v>
      </c>
      <c r="EB25">
        <v>2035</v>
      </c>
      <c r="EC25" s="269">
        <f t="shared" si="67"/>
        <v>0.30813104571293182</v>
      </c>
      <c r="ED25" s="269">
        <f t="shared" si="68"/>
        <v>0.05</v>
      </c>
      <c r="EE25" s="64">
        <f t="shared" si="34"/>
        <v>3.0086805101449288E-2</v>
      </c>
      <c r="EF25" s="64">
        <f t="shared" si="34"/>
        <v>3.0086805101449343E-2</v>
      </c>
      <c r="EG25" s="64">
        <f t="shared" si="34"/>
        <v>3.0086805101449288E-2</v>
      </c>
      <c r="EH25" s="64">
        <f t="shared" si="34"/>
        <v>3.0086805101449343E-2</v>
      </c>
      <c r="EI25" s="64">
        <f t="shared" si="34"/>
        <v>1.468297117817563E-2</v>
      </c>
      <c r="EJ25" s="64">
        <f t="shared" si="34"/>
        <v>1.4682971178175575E-2</v>
      </c>
      <c r="EK25" s="64">
        <f t="shared" si="34"/>
        <v>7.4858823529411755E-2</v>
      </c>
      <c r="EL25" s="64">
        <f t="shared" si="34"/>
        <v>0.24525547445255469</v>
      </c>
      <c r="EM25" s="64">
        <f t="shared" si="34"/>
        <v>5.2189781021897752E-2</v>
      </c>
      <c r="EN25" s="64">
        <f t="shared" si="34"/>
        <v>2.5182481751824803E-2</v>
      </c>
      <c r="EO25" s="64">
        <f t="shared" si="34"/>
        <v>6.7500000000000004E-2</v>
      </c>
      <c r="EP25" s="64">
        <f t="shared" si="34"/>
        <v>9.5192307692307798E-3</v>
      </c>
      <c r="EQ25" s="64">
        <f t="shared" si="34"/>
        <v>3.2499999999999751E-3</v>
      </c>
      <c r="ER25" s="64">
        <f t="shared" si="34"/>
        <v>1.4399999999999968E-2</v>
      </c>
      <c r="EX25" s="89">
        <v>2035</v>
      </c>
      <c r="EY25" s="278">
        <f t="shared" si="69"/>
        <v>1</v>
      </c>
      <c r="EZ25" s="278"/>
      <c r="FA25" s="278">
        <f t="shared" si="70"/>
        <v>0.32603759799857857</v>
      </c>
      <c r="FB25" s="278">
        <f t="shared" si="35"/>
        <v>0.05</v>
      </c>
      <c r="FC25" s="64">
        <f t="shared" si="71"/>
        <v>0.2222927267826087</v>
      </c>
      <c r="FD25" s="64">
        <f t="shared" si="72"/>
        <v>1.3507858823529411E-2</v>
      </c>
      <c r="FE25" s="64">
        <f t="shared" si="73"/>
        <v>0.25751824817518243</v>
      </c>
      <c r="FF25" s="64">
        <f t="shared" si="74"/>
        <v>5.4799270072992644E-2</v>
      </c>
      <c r="FG25" s="64">
        <f t="shared" si="75"/>
        <v>2.6441605839416044E-2</v>
      </c>
      <c r="FH25" s="64">
        <f t="shared" si="76"/>
        <v>7.0875000000000007E-2</v>
      </c>
      <c r="FI25" s="64">
        <f t="shared" si="77"/>
        <v>9.9951923076923195E-3</v>
      </c>
      <c r="FJ25" s="64">
        <f t="shared" si="78"/>
        <v>3.4124999999999741E-3</v>
      </c>
      <c r="FK25" s="280">
        <f t="shared" si="79"/>
        <v>1.5119999999999967E-2</v>
      </c>
      <c r="FL25" s="64"/>
      <c r="FM25" s="89">
        <v>2035</v>
      </c>
      <c r="FN25" s="278">
        <f t="shared" si="80"/>
        <v>1</v>
      </c>
      <c r="FP25" s="278">
        <f t="shared" si="81"/>
        <v>0.3576287433551002</v>
      </c>
      <c r="FQ25" s="278">
        <f t="shared" si="82"/>
        <v>0.05</v>
      </c>
      <c r="FR25" s="64">
        <f t="shared" si="83"/>
        <v>0.17783418142608698</v>
      </c>
      <c r="FS25" s="64">
        <f t="shared" si="84"/>
        <v>2.6375258823529407E-2</v>
      </c>
      <c r="FT25" s="64">
        <f t="shared" si="85"/>
        <v>0.25751824817518243</v>
      </c>
      <c r="FU25" s="64">
        <f t="shared" si="86"/>
        <v>5.4799270072992644E-2</v>
      </c>
      <c r="FV25" s="64">
        <f t="shared" si="87"/>
        <v>2.6441605839416044E-2</v>
      </c>
      <c r="FW25" s="64">
        <f t="shared" si="88"/>
        <v>7.0875000000000007E-2</v>
      </c>
      <c r="FX25" s="64">
        <f t="shared" si="89"/>
        <v>9.9951923076923195E-3</v>
      </c>
      <c r="FY25" s="64">
        <f t="shared" si="90"/>
        <v>3.4124999999999741E-3</v>
      </c>
      <c r="FZ25" s="280">
        <f t="shared" si="91"/>
        <v>1.5119999999999967E-2</v>
      </c>
      <c r="GA25" s="64"/>
      <c r="GB25" s="89">
        <v>2035</v>
      </c>
      <c r="GC25" s="278">
        <f t="shared" si="92"/>
        <v>1</v>
      </c>
      <c r="GE25" s="278">
        <f t="shared" si="93"/>
        <v>0.38921988871162205</v>
      </c>
      <c r="GF25" s="278">
        <f t="shared" si="94"/>
        <v>0.05</v>
      </c>
      <c r="GG25" s="64">
        <f t="shared" si="95"/>
        <v>0.13337563606956523</v>
      </c>
      <c r="GH25" s="64">
        <f t="shared" si="96"/>
        <v>3.9242658823529404E-2</v>
      </c>
      <c r="GI25" s="64">
        <f t="shared" si="97"/>
        <v>0.25751824817518243</v>
      </c>
      <c r="GJ25" s="64">
        <f t="shared" si="98"/>
        <v>5.4799270072992644E-2</v>
      </c>
      <c r="GK25" s="64">
        <f t="shared" si="99"/>
        <v>2.6441605839416044E-2</v>
      </c>
      <c r="GL25" s="64">
        <f t="shared" si="100"/>
        <v>7.0875000000000007E-2</v>
      </c>
      <c r="GM25" s="64">
        <f t="shared" si="101"/>
        <v>9.9951923076923195E-3</v>
      </c>
      <c r="GN25" s="64">
        <f t="shared" si="102"/>
        <v>3.4124999999999741E-3</v>
      </c>
      <c r="GO25" s="280">
        <f t="shared" si="103"/>
        <v>1.5119999999999967E-2</v>
      </c>
      <c r="GP25" s="64"/>
      <c r="GQ25" s="89">
        <v>2035</v>
      </c>
      <c r="GR25" s="278">
        <f t="shared" si="104"/>
        <v>1</v>
      </c>
      <c r="GT25" s="278">
        <f t="shared" si="105"/>
        <v>0.42081103406814369</v>
      </c>
      <c r="GU25" s="278">
        <f t="shared" si="106"/>
        <v>0.05</v>
      </c>
      <c r="GV25" s="64">
        <f t="shared" si="107"/>
        <v>8.8917090713043503E-2</v>
      </c>
      <c r="GW25" s="64">
        <f t="shared" si="108"/>
        <v>5.2110058823529398E-2</v>
      </c>
      <c r="GX25" s="64">
        <f t="shared" si="109"/>
        <v>0.25751824817518243</v>
      </c>
      <c r="GY25" s="64">
        <f t="shared" si="110"/>
        <v>5.4799270072992644E-2</v>
      </c>
      <c r="GZ25" s="64">
        <f t="shared" si="111"/>
        <v>2.6441605839416044E-2</v>
      </c>
      <c r="HA25" s="64">
        <f t="shared" si="112"/>
        <v>7.0875000000000007E-2</v>
      </c>
      <c r="HB25" s="64">
        <f t="shared" si="113"/>
        <v>9.9951923076923195E-3</v>
      </c>
      <c r="HC25" s="64">
        <f t="shared" si="114"/>
        <v>3.4124999999999741E-3</v>
      </c>
      <c r="HD25" s="280">
        <f t="shared" si="115"/>
        <v>1.5119999999999967E-2</v>
      </c>
      <c r="HE25" s="64"/>
      <c r="HF25" s="89">
        <v>2035</v>
      </c>
      <c r="HG25" s="278">
        <f t="shared" si="116"/>
        <v>1</v>
      </c>
      <c r="HI25" s="278">
        <f t="shared" si="117"/>
        <v>0.45240217942466554</v>
      </c>
      <c r="HJ25" s="278">
        <f t="shared" si="118"/>
        <v>0.05</v>
      </c>
      <c r="HK25" s="64">
        <f t="shared" si="119"/>
        <v>4.4458545356521738E-2</v>
      </c>
      <c r="HL25" s="64">
        <f t="shared" si="120"/>
        <v>6.4977458823529399E-2</v>
      </c>
      <c r="HM25" s="64">
        <f t="shared" si="121"/>
        <v>0.25751824817518243</v>
      </c>
      <c r="HN25" s="64">
        <f t="shared" si="122"/>
        <v>5.4799270072992644E-2</v>
      </c>
      <c r="HO25" s="64">
        <f t="shared" si="123"/>
        <v>2.6441605839416044E-2</v>
      </c>
      <c r="HP25" s="64">
        <f t="shared" si="124"/>
        <v>7.0875000000000007E-2</v>
      </c>
      <c r="HQ25" s="64">
        <f t="shared" si="125"/>
        <v>9.9951923076923195E-3</v>
      </c>
      <c r="HR25" s="64">
        <f t="shared" si="126"/>
        <v>3.4124999999999741E-3</v>
      </c>
      <c r="HS25" s="280">
        <f t="shared" si="127"/>
        <v>1.5119999999999967E-2</v>
      </c>
      <c r="HT25" s="64"/>
      <c r="HU25" s="89">
        <v>2035</v>
      </c>
      <c r="HV25" s="278">
        <f t="shared" si="128"/>
        <v>1</v>
      </c>
      <c r="HX25" s="278">
        <f t="shared" si="129"/>
        <v>0.46781929916175002</v>
      </c>
      <c r="HY25" s="278">
        <f t="shared" si="130"/>
        <v>0.05</v>
      </c>
      <c r="HZ25" s="64">
        <f t="shared" si="131"/>
        <v>2.2229272678260855E-2</v>
      </c>
      <c r="IA25" s="64">
        <f t="shared" si="132"/>
        <v>7.1789611764705871E-2</v>
      </c>
      <c r="IB25" s="64">
        <f t="shared" si="133"/>
        <v>0.25751824817518243</v>
      </c>
      <c r="IC25" s="64">
        <f t="shared" si="134"/>
        <v>5.4799270072992644E-2</v>
      </c>
      <c r="ID25" s="64">
        <f t="shared" si="135"/>
        <v>2.6441605839416044E-2</v>
      </c>
      <c r="IE25" s="64">
        <f t="shared" si="136"/>
        <v>7.0875000000000007E-2</v>
      </c>
      <c r="IF25" s="64">
        <f t="shared" si="137"/>
        <v>9.9951923076923195E-3</v>
      </c>
      <c r="IG25" s="64">
        <f t="shared" si="138"/>
        <v>3.4124999999999741E-3</v>
      </c>
      <c r="IH25" s="280">
        <f t="shared" si="139"/>
        <v>1.5119999999999967E-2</v>
      </c>
      <c r="II25" s="64"/>
      <c r="IJ25" s="89">
        <v>2035</v>
      </c>
      <c r="IK25" s="278">
        <f t="shared" si="140"/>
        <v>1</v>
      </c>
      <c r="IM25" s="278">
        <f t="shared" si="141"/>
        <v>0.48323641889883429</v>
      </c>
      <c r="IN25" s="278">
        <f t="shared" si="142"/>
        <v>0.05</v>
      </c>
      <c r="IO25" s="64">
        <v>0</v>
      </c>
      <c r="IP25" s="64">
        <f t="shared" si="143"/>
        <v>7.8601764705882329E-2</v>
      </c>
      <c r="IQ25" s="64">
        <f t="shared" si="144"/>
        <v>0.25751824817518243</v>
      </c>
      <c r="IR25" s="64">
        <f t="shared" si="145"/>
        <v>5.4799270072992644E-2</v>
      </c>
      <c r="IS25" s="64">
        <f t="shared" si="146"/>
        <v>2.6441605839416044E-2</v>
      </c>
      <c r="IT25" s="64">
        <f t="shared" si="147"/>
        <v>7.0875000000000007E-2</v>
      </c>
      <c r="IU25" s="64">
        <f t="shared" si="148"/>
        <v>9.9951923076923195E-3</v>
      </c>
      <c r="IV25" s="64">
        <f t="shared" si="149"/>
        <v>3.4124999999999741E-3</v>
      </c>
      <c r="IW25" s="280">
        <f t="shared" si="150"/>
        <v>1.5119999999999967E-2</v>
      </c>
      <c r="IX25" s="3">
        <f t="shared" si="151"/>
        <v>0.36249999999999893</v>
      </c>
      <c r="IY25">
        <f t="shared" si="36"/>
        <v>2035</v>
      </c>
      <c r="IZ25" s="3">
        <f t="shared" si="152"/>
        <v>11.549889178751382</v>
      </c>
      <c r="JA25" s="353">
        <f>HLOOKUP($JG$3,'Timing calculations'!JH$8:JT$39,18,FALSE)</f>
        <v>11.35469138788547</v>
      </c>
      <c r="JB25" s="3">
        <f t="shared" si="153"/>
        <v>15.6</v>
      </c>
      <c r="JC25" s="353">
        <f t="shared" si="154"/>
        <v>16.421052631578949</v>
      </c>
      <c r="JD25" s="418">
        <f t="shared" si="37"/>
        <v>0.36249999999999982</v>
      </c>
      <c r="JE25" s="368">
        <f t="shared" si="155"/>
        <v>9.6874999999999929</v>
      </c>
      <c r="JF25" s="369">
        <f t="shared" si="156"/>
        <v>10.197368421052625</v>
      </c>
      <c r="JG25" s="363">
        <f t="shared" si="157"/>
        <v>10.594915963262752</v>
      </c>
      <c r="JH25" s="362">
        <f t="shared" si="38"/>
        <v>11.152543119223949</v>
      </c>
      <c r="JI25" s="366">
        <f t="shared" si="39"/>
        <v>10.786956818491197</v>
      </c>
      <c r="JJ25" s="367">
        <f t="shared" si="9"/>
        <v>11.35469138788547</v>
      </c>
      <c r="JK25" s="363">
        <f t="shared" si="40"/>
        <v>10.978997673719642</v>
      </c>
      <c r="JL25" s="362">
        <f t="shared" si="41"/>
        <v>11.556839656546991</v>
      </c>
      <c r="JM25" s="366">
        <f t="shared" si="158"/>
        <v>11.171038528948088</v>
      </c>
      <c r="JN25" s="367">
        <f t="shared" si="42"/>
        <v>11.758987925208514</v>
      </c>
      <c r="JO25" s="363">
        <f t="shared" si="159"/>
        <v>11.363079384176533</v>
      </c>
      <c r="JP25" s="362">
        <f t="shared" si="43"/>
        <v>11.961136193870036</v>
      </c>
      <c r="JQ25" s="366">
        <f t="shared" si="160"/>
        <v>11.456484281463959</v>
      </c>
      <c r="JR25" s="367">
        <f t="shared" si="44"/>
        <v>12.059457138383115</v>
      </c>
      <c r="JS25" s="363">
        <f t="shared" si="161"/>
        <v>11.549889178751382</v>
      </c>
      <c r="JT25" s="362">
        <f t="shared" si="45"/>
        <v>12.157778082896192</v>
      </c>
    </row>
    <row r="26" spans="1:282">
      <c r="A26" s="247"/>
      <c r="B26" s="247"/>
      <c r="C26" s="247"/>
      <c r="D26" s="247"/>
      <c r="E26" s="247"/>
      <c r="F26" s="247"/>
      <c r="H26" s="300"/>
      <c r="J26" s="301"/>
      <c r="AO26" s="89">
        <v>2036</v>
      </c>
      <c r="AP26" s="170">
        <f t="shared" si="162"/>
        <v>-1.5360000000000006E-2</v>
      </c>
      <c r="AQ26" s="170">
        <f t="shared" si="162"/>
        <v>-3.5000000000000018E-3</v>
      </c>
      <c r="AR26" s="170">
        <f t="shared" si="162"/>
        <v>-1.0384615384615383E-2</v>
      </c>
      <c r="AS26" s="170">
        <f t="shared" si="162"/>
        <v>-6.7500000000000004E-2</v>
      </c>
      <c r="AU26" s="170">
        <f t="shared" si="163"/>
        <v>-2.6861313868613138E-2</v>
      </c>
      <c r="AV26" s="170">
        <f t="shared" si="163"/>
        <v>-5.5669099756690994E-2</v>
      </c>
      <c r="AW26" s="170">
        <f t="shared" si="163"/>
        <v>-0.24525547445255474</v>
      </c>
      <c r="AY26" s="170">
        <f t="shared" si="164"/>
        <v>-7.9849411764705863E-2</v>
      </c>
      <c r="AZ26" s="278">
        <f t="shared" si="165"/>
        <v>6.9868235294117615E-3</v>
      </c>
      <c r="BA26" s="284">
        <f t="shared" si="166"/>
        <v>-2.9945421495652151E-2</v>
      </c>
      <c r="BB26" s="276">
        <f t="shared" si="167"/>
        <v>-3.0173694376811579E-2</v>
      </c>
      <c r="BC26" s="277">
        <f t="shared" si="10"/>
        <v>-2.3290883385507229E-2</v>
      </c>
      <c r="BD26" s="278">
        <f t="shared" si="168"/>
        <v>6.9868235294117615E-3</v>
      </c>
      <c r="BE26" s="284">
        <f t="shared" si="169"/>
        <v>-2.9945421495652193E-2</v>
      </c>
      <c r="BF26" s="276">
        <f t="shared" si="170"/>
        <v>-3.0173694376811579E-2</v>
      </c>
      <c r="BG26" s="277">
        <f t="shared" si="11"/>
        <v>-2.3290883385507263E-2</v>
      </c>
      <c r="BH26" s="278">
        <f t="shared" si="171"/>
        <v>1.3197333333333328E-2</v>
      </c>
      <c r="BI26" s="284">
        <f t="shared" si="172"/>
        <v>-5.9890842991304372E-2</v>
      </c>
      <c r="BJ26" s="276">
        <f t="shared" si="173"/>
        <v>-6.0347388753623256E-2</v>
      </c>
      <c r="BK26" s="277">
        <f t="shared" si="12"/>
        <v>-4.658176677101452E-2</v>
      </c>
      <c r="BL26" s="278">
        <f t="shared" si="174"/>
        <v>1.3197333333333328E-2</v>
      </c>
      <c r="BM26" s="284">
        <f t="shared" si="175"/>
        <v>-5.989084299130433E-2</v>
      </c>
      <c r="BN26" s="276">
        <f t="shared" si="176"/>
        <v>-6.0347388753623145E-2</v>
      </c>
      <c r="BO26" s="277">
        <f t="shared" si="13"/>
        <v>-4.6581766771014492E-2</v>
      </c>
      <c r="BP26" s="278">
        <f t="shared" si="177"/>
        <v>1.3197333333333328E-2</v>
      </c>
      <c r="BQ26" s="284">
        <f t="shared" si="178"/>
        <v>-5.9890842991304385E-2</v>
      </c>
      <c r="BR26" s="276">
        <f t="shared" si="179"/>
        <v>-6.0347388753623193E-2</v>
      </c>
      <c r="BS26" s="277">
        <f t="shared" si="14"/>
        <v>-4.6581766771014499E-2</v>
      </c>
      <c r="BT26" s="278">
        <f t="shared" si="180"/>
        <v>1.3197333333333328E-2</v>
      </c>
      <c r="BU26" s="284">
        <f t="shared" si="181"/>
        <v>-5.989084299130433E-2</v>
      </c>
      <c r="BV26" s="276">
        <f t="shared" si="182"/>
        <v>-6.0347388753623173E-2</v>
      </c>
      <c r="BW26" s="278">
        <f t="shared" si="15"/>
        <v>-4.6581766771014478E-2</v>
      </c>
      <c r="BX26" s="391">
        <f t="shared" si="46"/>
        <v>-2.628376470588235E-2</v>
      </c>
      <c r="BY26" s="392">
        <f t="shared" si="47"/>
        <v>-0.186327067084058</v>
      </c>
      <c r="BZ26" s="278"/>
      <c r="CB26" s="279">
        <f t="shared" si="183"/>
        <v>-0.50437991522718018</v>
      </c>
      <c r="CC26" s="64">
        <f t="shared" si="17"/>
        <v>-0.52068397508327569</v>
      </c>
      <c r="CD26" s="64">
        <f t="shared" si="18"/>
        <v>-0.53698803493937119</v>
      </c>
      <c r="CE26" s="64">
        <f t="shared" si="19"/>
        <v>-0.57037246837705247</v>
      </c>
      <c r="CF26" s="64">
        <f t="shared" si="20"/>
        <v>-0.60375690181473363</v>
      </c>
      <c r="CG26" s="64">
        <f t="shared" si="21"/>
        <v>-0.6371413352524149</v>
      </c>
      <c r="CH26" s="64">
        <f t="shared" si="22"/>
        <v>-0.67052576869009606</v>
      </c>
      <c r="CI26">
        <v>2036</v>
      </c>
      <c r="CJ26" s="240"/>
      <c r="CL26">
        <v>2036</v>
      </c>
      <c r="CM26" s="3">
        <f t="shared" si="48"/>
        <v>0.95</v>
      </c>
      <c r="CN26" s="64">
        <f t="shared" si="23"/>
        <v>0.93463999999999992</v>
      </c>
      <c r="CO26" s="64">
        <f t="shared" si="23"/>
        <v>0.93113999999999997</v>
      </c>
      <c r="CP26" s="64">
        <f t="shared" si="23"/>
        <v>0.92075538461538453</v>
      </c>
      <c r="CQ26" s="64">
        <f t="shared" si="23"/>
        <v>0.85325538461538453</v>
      </c>
      <c r="CR26" s="64">
        <f t="shared" si="24"/>
        <v>0.8263940707467714</v>
      </c>
      <c r="CS26" s="64">
        <f t="shared" si="24"/>
        <v>0.77072497099008042</v>
      </c>
      <c r="CT26" s="64">
        <f t="shared" si="24"/>
        <v>0.52546949653752573</v>
      </c>
      <c r="CU26" s="64">
        <f t="shared" si="25"/>
        <v>0.44562008477281989</v>
      </c>
      <c r="CV26" s="64">
        <f t="shared" si="25"/>
        <v>0.45260690830223166</v>
      </c>
      <c r="CW26" s="65">
        <f t="shared" si="49"/>
        <v>0.42931602491672444</v>
      </c>
      <c r="CX26" s="64">
        <f t="shared" si="50"/>
        <v>0.45959373183164343</v>
      </c>
      <c r="CY26" s="65">
        <f t="shared" si="51"/>
        <v>0.41301196506062893</v>
      </c>
      <c r="CZ26" s="64">
        <f t="shared" si="52"/>
        <v>0.47279106516497676</v>
      </c>
      <c r="DA26" s="65">
        <f t="shared" si="53"/>
        <v>0.37962753162294777</v>
      </c>
      <c r="DB26" s="64">
        <f t="shared" si="54"/>
        <v>0.4859883984983101</v>
      </c>
      <c r="DC26" s="65">
        <f t="shared" si="55"/>
        <v>0.34624309818526661</v>
      </c>
      <c r="DD26" s="64">
        <f t="shared" si="56"/>
        <v>0.49918573183164344</v>
      </c>
      <c r="DE26" s="65">
        <f t="shared" si="57"/>
        <v>0.31285866474758545</v>
      </c>
      <c r="DF26" s="64">
        <f t="shared" si="58"/>
        <v>0.51238306516497678</v>
      </c>
      <c r="DG26" s="65">
        <f t="shared" si="59"/>
        <v>0.27947423130990429</v>
      </c>
      <c r="DL26">
        <v>2036</v>
      </c>
      <c r="DM26" s="64">
        <f t="shared" si="60"/>
        <v>0.27947423130990429</v>
      </c>
      <c r="DN26" s="64">
        <f t="shared" si="61"/>
        <v>0.31285866474758545</v>
      </c>
      <c r="DO26" s="64">
        <f t="shared" si="62"/>
        <v>0.34624309818526661</v>
      </c>
      <c r="DP26" s="64">
        <f t="shared" si="63"/>
        <v>0.37962753162294777</v>
      </c>
      <c r="DQ26" s="64">
        <f t="shared" si="64"/>
        <v>0.41301196506062893</v>
      </c>
      <c r="DR26" s="64">
        <f t="shared" si="65"/>
        <v>0.42931602491672444</v>
      </c>
      <c r="DS26" s="64">
        <f t="shared" si="26"/>
        <v>0.44562008477281989</v>
      </c>
      <c r="DT26" s="64">
        <f t="shared" si="27"/>
        <v>0.52546949653752573</v>
      </c>
      <c r="DU26" s="64">
        <f t="shared" si="28"/>
        <v>0.77072497099008042</v>
      </c>
      <c r="DV26" s="64">
        <f t="shared" si="29"/>
        <v>0.8263940707467714</v>
      </c>
      <c r="DW26" s="64">
        <f t="shared" si="30"/>
        <v>0.85325538461538453</v>
      </c>
      <c r="DX26" s="64">
        <f t="shared" si="31"/>
        <v>0.92075538461538453</v>
      </c>
      <c r="DY26" s="64">
        <f t="shared" si="32"/>
        <v>0.93113999999999997</v>
      </c>
      <c r="DZ26" s="64">
        <f t="shared" si="33"/>
        <v>0.93463999999999992</v>
      </c>
      <c r="EA26" s="3">
        <f t="shared" si="66"/>
        <v>0.95</v>
      </c>
      <c r="EB26">
        <v>2036</v>
      </c>
      <c r="EC26" s="269">
        <f t="shared" si="67"/>
        <v>0.27947423130990434</v>
      </c>
      <c r="ED26" s="269">
        <f t="shared" si="68"/>
        <v>0.05</v>
      </c>
      <c r="EE26" s="64">
        <f t="shared" si="34"/>
        <v>3.338443343768116E-2</v>
      </c>
      <c r="EF26" s="64">
        <f t="shared" si="34"/>
        <v>3.338443343768116E-2</v>
      </c>
      <c r="EG26" s="64">
        <f t="shared" si="34"/>
        <v>3.338443343768116E-2</v>
      </c>
      <c r="EH26" s="64">
        <f t="shared" si="34"/>
        <v>3.338443343768116E-2</v>
      </c>
      <c r="EI26" s="64">
        <f t="shared" si="34"/>
        <v>1.630405985609551E-2</v>
      </c>
      <c r="EJ26" s="64">
        <f t="shared" si="34"/>
        <v>1.6304059856095454E-2</v>
      </c>
      <c r="EK26" s="64">
        <f t="shared" si="34"/>
        <v>7.9849411764705835E-2</v>
      </c>
      <c r="EL26" s="64">
        <f t="shared" si="34"/>
        <v>0.24525547445255469</v>
      </c>
      <c r="EM26" s="64">
        <f t="shared" si="34"/>
        <v>5.5669099756690987E-2</v>
      </c>
      <c r="EN26" s="64">
        <f t="shared" si="34"/>
        <v>2.6861313868613124E-2</v>
      </c>
      <c r="EO26" s="64">
        <f t="shared" si="34"/>
        <v>6.7500000000000004E-2</v>
      </c>
      <c r="EP26" s="64">
        <f t="shared" si="34"/>
        <v>1.0384615384615437E-2</v>
      </c>
      <c r="EQ26" s="64">
        <f t="shared" si="34"/>
        <v>3.4999999999999476E-3</v>
      </c>
      <c r="ER26" s="64">
        <f t="shared" si="34"/>
        <v>1.536000000000004E-2</v>
      </c>
      <c r="EX26" s="89">
        <v>2036</v>
      </c>
      <c r="EY26" s="278">
        <f t="shared" si="69"/>
        <v>1.0033333333333332</v>
      </c>
      <c r="EZ26" s="278"/>
      <c r="FA26" s="278">
        <f t="shared" si="70"/>
        <v>0.29704619031309931</v>
      </c>
      <c r="FB26" s="278">
        <f t="shared" si="35"/>
        <v>0.05</v>
      </c>
      <c r="FC26" s="64">
        <f t="shared" si="71"/>
        <v>0.24533063832734292</v>
      </c>
      <c r="FD26" s="64">
        <f t="shared" si="72"/>
        <v>1.3784374379084965E-2</v>
      </c>
      <c r="FE26" s="64">
        <f t="shared" si="73"/>
        <v>0.25833576642335754</v>
      </c>
      <c r="FF26" s="64">
        <f t="shared" si="74"/>
        <v>5.8638118410381156E-2</v>
      </c>
      <c r="FG26" s="64">
        <f t="shared" si="75"/>
        <v>2.829391727493915E-2</v>
      </c>
      <c r="FH26" s="64">
        <f t="shared" si="76"/>
        <v>7.1099999999999983E-2</v>
      </c>
      <c r="FI26" s="64">
        <f t="shared" si="77"/>
        <v>1.093846153846159E-2</v>
      </c>
      <c r="FJ26" s="64">
        <f t="shared" si="78"/>
        <v>3.6866666666666103E-3</v>
      </c>
      <c r="FK26" s="280">
        <f t="shared" si="79"/>
        <v>1.6179200000000036E-2</v>
      </c>
      <c r="FL26" s="64"/>
      <c r="FM26" s="89">
        <v>2036</v>
      </c>
      <c r="FN26" s="278">
        <f t="shared" si="80"/>
        <v>1.0033333333333332</v>
      </c>
      <c r="FP26" s="278">
        <f t="shared" si="81"/>
        <v>0.3322111268674568</v>
      </c>
      <c r="FQ26" s="278">
        <f t="shared" si="82"/>
        <v>0.05</v>
      </c>
      <c r="FR26" s="64">
        <f t="shared" si="83"/>
        <v>0.19626451066187436</v>
      </c>
      <c r="FS26" s="64">
        <f t="shared" si="84"/>
        <v>2.7685565490196067E-2</v>
      </c>
      <c r="FT26" s="64">
        <f t="shared" si="85"/>
        <v>0.25833576642335754</v>
      </c>
      <c r="FU26" s="64">
        <f t="shared" si="86"/>
        <v>5.8638118410381156E-2</v>
      </c>
      <c r="FV26" s="64">
        <f t="shared" si="87"/>
        <v>2.829391727493915E-2</v>
      </c>
      <c r="FW26" s="64">
        <f t="shared" si="88"/>
        <v>7.1099999999999983E-2</v>
      </c>
      <c r="FX26" s="64">
        <f t="shared" si="89"/>
        <v>1.093846153846159E-2</v>
      </c>
      <c r="FY26" s="64">
        <f t="shared" si="90"/>
        <v>3.6866666666666103E-3</v>
      </c>
      <c r="FZ26" s="280">
        <f t="shared" si="91"/>
        <v>1.6179200000000036E-2</v>
      </c>
      <c r="GA26" s="64"/>
      <c r="GB26" s="89">
        <v>2036</v>
      </c>
      <c r="GC26" s="278">
        <f t="shared" si="92"/>
        <v>1.0033333333333332</v>
      </c>
      <c r="GE26" s="278">
        <f t="shared" si="93"/>
        <v>0.36737606342181428</v>
      </c>
      <c r="GF26" s="278">
        <f t="shared" si="94"/>
        <v>0.05</v>
      </c>
      <c r="GG26" s="64">
        <f t="shared" si="95"/>
        <v>0.14719838299640578</v>
      </c>
      <c r="GH26" s="64">
        <f t="shared" si="96"/>
        <v>4.1586756601307166E-2</v>
      </c>
      <c r="GI26" s="64">
        <f t="shared" si="97"/>
        <v>0.25833576642335754</v>
      </c>
      <c r="GJ26" s="64">
        <f t="shared" si="98"/>
        <v>5.8638118410381156E-2</v>
      </c>
      <c r="GK26" s="64">
        <f t="shared" si="99"/>
        <v>2.829391727493915E-2</v>
      </c>
      <c r="GL26" s="64">
        <f t="shared" si="100"/>
        <v>7.1099999999999983E-2</v>
      </c>
      <c r="GM26" s="64">
        <f t="shared" si="101"/>
        <v>1.093846153846159E-2</v>
      </c>
      <c r="GN26" s="64">
        <f t="shared" si="102"/>
        <v>3.6866666666666103E-3</v>
      </c>
      <c r="GO26" s="280">
        <f t="shared" si="103"/>
        <v>1.6179200000000036E-2</v>
      </c>
      <c r="GP26" s="64"/>
      <c r="GQ26" s="89">
        <v>2036</v>
      </c>
      <c r="GR26" s="278">
        <f t="shared" si="104"/>
        <v>1.0033333333333332</v>
      </c>
      <c r="GT26" s="278">
        <f t="shared" si="105"/>
        <v>0.40254099997617176</v>
      </c>
      <c r="GU26" s="278">
        <f t="shared" si="106"/>
        <v>0.05</v>
      </c>
      <c r="GV26" s="64">
        <f t="shared" si="107"/>
        <v>9.8132255330937196E-2</v>
      </c>
      <c r="GW26" s="64">
        <f t="shared" si="108"/>
        <v>5.5487947712418266E-2</v>
      </c>
      <c r="GX26" s="64">
        <f t="shared" si="109"/>
        <v>0.25833576642335754</v>
      </c>
      <c r="GY26" s="64">
        <f t="shared" si="110"/>
        <v>5.8638118410381156E-2</v>
      </c>
      <c r="GZ26" s="64">
        <f t="shared" si="111"/>
        <v>2.829391727493915E-2</v>
      </c>
      <c r="HA26" s="64">
        <f t="shared" si="112"/>
        <v>7.1099999999999983E-2</v>
      </c>
      <c r="HB26" s="64">
        <f t="shared" si="113"/>
        <v>1.093846153846159E-2</v>
      </c>
      <c r="HC26" s="64">
        <f t="shared" si="114"/>
        <v>3.6866666666666103E-3</v>
      </c>
      <c r="HD26" s="280">
        <f t="shared" si="115"/>
        <v>1.6179200000000036E-2</v>
      </c>
      <c r="HE26" s="64"/>
      <c r="HF26" s="89">
        <v>2036</v>
      </c>
      <c r="HG26" s="278">
        <f t="shared" si="116"/>
        <v>1.0033333333333332</v>
      </c>
      <c r="HI26" s="278">
        <f t="shared" si="117"/>
        <v>0.43770593653052925</v>
      </c>
      <c r="HJ26" s="278">
        <f t="shared" si="118"/>
        <v>0.05</v>
      </c>
      <c r="HK26" s="64">
        <f t="shared" si="119"/>
        <v>4.9066127665468584E-2</v>
      </c>
      <c r="HL26" s="64">
        <f t="shared" si="120"/>
        <v>6.9389138823529359E-2</v>
      </c>
      <c r="HM26" s="64">
        <f t="shared" si="121"/>
        <v>0.25833576642335754</v>
      </c>
      <c r="HN26" s="64">
        <f t="shared" si="122"/>
        <v>5.8638118410381156E-2</v>
      </c>
      <c r="HO26" s="64">
        <f t="shared" si="123"/>
        <v>2.829391727493915E-2</v>
      </c>
      <c r="HP26" s="64">
        <f t="shared" si="124"/>
        <v>7.1099999999999983E-2</v>
      </c>
      <c r="HQ26" s="64">
        <f t="shared" si="125"/>
        <v>1.093846153846159E-2</v>
      </c>
      <c r="HR26" s="64">
        <f t="shared" si="126"/>
        <v>3.6866666666666103E-3</v>
      </c>
      <c r="HS26" s="280">
        <f t="shared" si="127"/>
        <v>1.6179200000000036E-2</v>
      </c>
      <c r="HT26" s="64"/>
      <c r="HU26" s="89">
        <v>2036</v>
      </c>
      <c r="HV26" s="278">
        <f t="shared" si="128"/>
        <v>1.0033333333333332</v>
      </c>
      <c r="HX26" s="278">
        <f t="shared" si="129"/>
        <v>0.45487954624561644</v>
      </c>
      <c r="HY26" s="278">
        <f t="shared" si="130"/>
        <v>0.05</v>
      </c>
      <c r="HZ26" s="64">
        <f t="shared" si="131"/>
        <v>2.4533063832734275E-2</v>
      </c>
      <c r="IA26" s="64">
        <f t="shared" si="132"/>
        <v>7.6748592941176419E-2</v>
      </c>
      <c r="IB26" s="64">
        <f t="shared" si="133"/>
        <v>0.25833576642335754</v>
      </c>
      <c r="IC26" s="64">
        <f t="shared" si="134"/>
        <v>5.8638118410381156E-2</v>
      </c>
      <c r="ID26" s="64">
        <f t="shared" si="135"/>
        <v>2.829391727493915E-2</v>
      </c>
      <c r="IE26" s="64">
        <f t="shared" si="136"/>
        <v>7.1099999999999983E-2</v>
      </c>
      <c r="IF26" s="64">
        <f t="shared" si="137"/>
        <v>1.093846153846159E-2</v>
      </c>
      <c r="IG26" s="64">
        <f t="shared" si="138"/>
        <v>3.6866666666666103E-3</v>
      </c>
      <c r="IH26" s="280">
        <f t="shared" si="139"/>
        <v>1.6179200000000036E-2</v>
      </c>
      <c r="II26" s="64"/>
      <c r="IJ26" s="89">
        <v>2036</v>
      </c>
      <c r="IK26" s="278">
        <f t="shared" si="140"/>
        <v>1.0033333333333332</v>
      </c>
      <c r="IM26" s="278">
        <f t="shared" si="141"/>
        <v>0.47205315596070374</v>
      </c>
      <c r="IN26" s="278">
        <f t="shared" si="142"/>
        <v>0.05</v>
      </c>
      <c r="IO26" s="64">
        <v>0</v>
      </c>
      <c r="IP26" s="64">
        <f t="shared" si="143"/>
        <v>8.4108047058823479E-2</v>
      </c>
      <c r="IQ26" s="64">
        <f t="shared" si="144"/>
        <v>0.25833576642335754</v>
      </c>
      <c r="IR26" s="64">
        <f t="shared" si="145"/>
        <v>5.8638118410381156E-2</v>
      </c>
      <c r="IS26" s="64">
        <f t="shared" si="146"/>
        <v>2.829391727493915E-2</v>
      </c>
      <c r="IT26" s="64">
        <f t="shared" si="147"/>
        <v>7.1099999999999983E-2</v>
      </c>
      <c r="IU26" s="64">
        <f t="shared" si="148"/>
        <v>1.093846153846159E-2</v>
      </c>
      <c r="IV26" s="64">
        <f t="shared" si="149"/>
        <v>3.6866666666666103E-3</v>
      </c>
      <c r="IW26" s="280">
        <f t="shared" si="150"/>
        <v>1.6179200000000036E-2</v>
      </c>
      <c r="IX26" s="3">
        <f t="shared" si="151"/>
        <v>0.34500000000000064</v>
      </c>
      <c r="IY26">
        <f t="shared" si="36"/>
        <v>2036</v>
      </c>
      <c r="IZ26" s="3">
        <f t="shared" si="152"/>
        <v>12.021942334712087</v>
      </c>
      <c r="JA26" s="353">
        <f>HLOOKUP($JG$3,'Timing calculations'!JH$8:JT$39,19,FALSE)</f>
        <v>11.704387310903845</v>
      </c>
      <c r="JB26" s="3">
        <f t="shared" si="153"/>
        <v>16.603333333333332</v>
      </c>
      <c r="JC26" s="353">
        <f t="shared" si="154"/>
        <v>17.477192982456138</v>
      </c>
      <c r="JD26" s="418">
        <f t="shared" si="37"/>
        <v>0.34499999999999986</v>
      </c>
      <c r="JE26" s="368">
        <f t="shared" si="155"/>
        <v>10.032499999999994</v>
      </c>
      <c r="JF26" s="369">
        <f t="shared" si="156"/>
        <v>10.560526315789467</v>
      </c>
      <c r="JG26" s="363">
        <f t="shared" si="157"/>
        <v>10.89196215357585</v>
      </c>
      <c r="JH26" s="362">
        <f t="shared" si="38"/>
        <v>11.465223319553527</v>
      </c>
      <c r="JI26" s="366">
        <f t="shared" si="39"/>
        <v>11.119167945358653</v>
      </c>
      <c r="JJ26" s="367">
        <f t="shared" si="9"/>
        <v>11.704387310903845</v>
      </c>
      <c r="JK26" s="363">
        <f t="shared" si="40"/>
        <v>11.346373737141455</v>
      </c>
      <c r="JL26" s="362">
        <f t="shared" si="41"/>
        <v>11.943551302254164</v>
      </c>
      <c r="JM26" s="366">
        <f t="shared" si="158"/>
        <v>11.57357952892426</v>
      </c>
      <c r="JN26" s="367">
        <f t="shared" si="42"/>
        <v>12.182715293604485</v>
      </c>
      <c r="JO26" s="363">
        <f t="shared" si="159"/>
        <v>11.800785320707062</v>
      </c>
      <c r="JP26" s="362">
        <f t="shared" si="43"/>
        <v>12.421879284954803</v>
      </c>
      <c r="JQ26" s="366">
        <f t="shared" si="160"/>
        <v>11.911363827709575</v>
      </c>
      <c r="JR26" s="367">
        <f t="shared" si="44"/>
        <v>12.5382777133785</v>
      </c>
      <c r="JS26" s="363">
        <f t="shared" si="161"/>
        <v>12.021942334712087</v>
      </c>
      <c r="JT26" s="362">
        <f t="shared" si="45"/>
        <v>12.654676141802197</v>
      </c>
    </row>
    <row r="27" spans="1:282">
      <c r="A27" s="247"/>
      <c r="B27" s="247"/>
      <c r="C27" s="247"/>
      <c r="D27" s="247"/>
      <c r="E27" s="247"/>
      <c r="F27" s="247"/>
      <c r="H27" s="300"/>
      <c r="J27" s="301"/>
      <c r="AO27" s="89">
        <v>2037</v>
      </c>
      <c r="AP27" s="170">
        <f t="shared" si="162"/>
        <v>-1.6320000000000005E-2</v>
      </c>
      <c r="AQ27" s="170">
        <f t="shared" si="162"/>
        <v>-3.750000000000002E-3</v>
      </c>
      <c r="AR27" s="170">
        <f t="shared" si="162"/>
        <v>-1.1249999999999998E-2</v>
      </c>
      <c r="AS27" s="170">
        <f t="shared" si="162"/>
        <v>-6.7500000000000004E-2</v>
      </c>
      <c r="AU27" s="170">
        <f t="shared" si="163"/>
        <v>-2.8540145985401458E-2</v>
      </c>
      <c r="AV27" s="170">
        <f t="shared" si="163"/>
        <v>-5.9148418491484181E-2</v>
      </c>
      <c r="AW27" s="170">
        <f t="shared" si="163"/>
        <v>-0.24525547445255474</v>
      </c>
      <c r="AY27" s="170">
        <f t="shared" si="164"/>
        <v>-8.4839999999999985E-2</v>
      </c>
      <c r="AZ27" s="278">
        <f t="shared" si="165"/>
        <v>7.4858823529411729E-3</v>
      </c>
      <c r="BA27" s="284">
        <f t="shared" si="166"/>
        <v>-3.0577516382608673E-2</v>
      </c>
      <c r="BB27" s="276">
        <f t="shared" si="167"/>
        <v>-3.2328958260869546E-2</v>
      </c>
      <c r="BC27" s="277">
        <f t="shared" si="10"/>
        <v>-2.5481263652173892E-2</v>
      </c>
      <c r="BD27" s="278">
        <f t="shared" si="168"/>
        <v>7.4858823529411729E-3</v>
      </c>
      <c r="BE27" s="284">
        <f t="shared" si="169"/>
        <v>-3.0577516382608715E-2</v>
      </c>
      <c r="BF27" s="276">
        <f t="shared" si="170"/>
        <v>-3.2328958260869546E-2</v>
      </c>
      <c r="BG27" s="277">
        <f t="shared" si="11"/>
        <v>-2.548126365217393E-2</v>
      </c>
      <c r="BH27" s="278">
        <f t="shared" si="171"/>
        <v>1.4139999999999995E-2</v>
      </c>
      <c r="BI27" s="284">
        <f t="shared" si="172"/>
        <v>-6.1155032765217415E-2</v>
      </c>
      <c r="BJ27" s="276">
        <f t="shared" si="173"/>
        <v>-6.4657916521739203E-2</v>
      </c>
      <c r="BK27" s="277">
        <f t="shared" si="12"/>
        <v>-5.096252730434786E-2</v>
      </c>
      <c r="BL27" s="278">
        <f t="shared" si="174"/>
        <v>1.4139999999999995E-2</v>
      </c>
      <c r="BM27" s="284">
        <f t="shared" si="175"/>
        <v>-6.1155032765217374E-2</v>
      </c>
      <c r="BN27" s="276">
        <f t="shared" si="176"/>
        <v>-6.4657916521739078E-2</v>
      </c>
      <c r="BO27" s="277">
        <f t="shared" si="13"/>
        <v>-5.0962527304347818E-2</v>
      </c>
      <c r="BP27" s="278">
        <f t="shared" si="177"/>
        <v>1.4139999999999995E-2</v>
      </c>
      <c r="BQ27" s="284">
        <f t="shared" si="178"/>
        <v>-6.1155032765217429E-2</v>
      </c>
      <c r="BR27" s="276">
        <f t="shared" si="179"/>
        <v>-6.4657916521739134E-2</v>
      </c>
      <c r="BS27" s="277">
        <f t="shared" si="14"/>
        <v>-5.0962527304347832E-2</v>
      </c>
      <c r="BT27" s="278">
        <f t="shared" si="180"/>
        <v>1.4139999999999995E-2</v>
      </c>
      <c r="BU27" s="284">
        <f t="shared" si="181"/>
        <v>-6.1155032765217374E-2</v>
      </c>
      <c r="BV27" s="276">
        <f t="shared" si="182"/>
        <v>-6.465791652173912E-2</v>
      </c>
      <c r="BW27" s="278">
        <f t="shared" si="15"/>
        <v>-5.0962527304347818E-2</v>
      </c>
      <c r="BX27" s="391">
        <f t="shared" si="46"/>
        <v>-2.7448235294117655E-2</v>
      </c>
      <c r="BY27" s="392">
        <f t="shared" si="47"/>
        <v>-0.20385010921739133</v>
      </c>
      <c r="BZ27" s="278"/>
      <c r="CB27" s="279">
        <f t="shared" si="183"/>
        <v>-0.5166040389294404</v>
      </c>
      <c r="CC27" s="64">
        <f t="shared" si="17"/>
        <v>-0.53459942022867313</v>
      </c>
      <c r="CD27" s="64">
        <f t="shared" si="18"/>
        <v>-0.55259480152790597</v>
      </c>
      <c r="CE27" s="64">
        <f t="shared" si="19"/>
        <v>-0.58941732883225373</v>
      </c>
      <c r="CF27" s="64">
        <f t="shared" si="20"/>
        <v>-0.62623985613660149</v>
      </c>
      <c r="CG27" s="64">
        <f t="shared" si="21"/>
        <v>-0.66306238344094925</v>
      </c>
      <c r="CH27" s="64">
        <f t="shared" si="22"/>
        <v>-0.69988491074529702</v>
      </c>
      <c r="CI27">
        <v>2037</v>
      </c>
      <c r="CJ27" s="240"/>
      <c r="CL27">
        <v>2037</v>
      </c>
      <c r="CM27" s="3">
        <f t="shared" si="48"/>
        <v>0.95</v>
      </c>
      <c r="CN27" s="64">
        <f t="shared" si="23"/>
        <v>0.93367999999999995</v>
      </c>
      <c r="CO27" s="64">
        <f t="shared" si="23"/>
        <v>0.92992999999999992</v>
      </c>
      <c r="CP27" s="64">
        <f t="shared" si="23"/>
        <v>0.91867999999999994</v>
      </c>
      <c r="CQ27" s="64">
        <f t="shared" si="23"/>
        <v>0.85117999999999994</v>
      </c>
      <c r="CR27" s="64">
        <f t="shared" si="24"/>
        <v>0.82263985401459849</v>
      </c>
      <c r="CS27" s="64">
        <f t="shared" si="24"/>
        <v>0.76349143552311427</v>
      </c>
      <c r="CT27" s="64">
        <f t="shared" si="24"/>
        <v>0.51823596107055958</v>
      </c>
      <c r="CU27" s="64">
        <f t="shared" si="25"/>
        <v>0.43339596107055961</v>
      </c>
      <c r="CV27" s="64">
        <f t="shared" si="25"/>
        <v>0.44088184342350079</v>
      </c>
      <c r="CW27" s="65">
        <f t="shared" si="49"/>
        <v>0.41540057977132688</v>
      </c>
      <c r="CX27" s="64">
        <f t="shared" si="50"/>
        <v>0.44836772577644196</v>
      </c>
      <c r="CY27" s="65">
        <f t="shared" si="51"/>
        <v>0.3974051984720941</v>
      </c>
      <c r="CZ27" s="64">
        <f t="shared" si="52"/>
        <v>0.46250772577644195</v>
      </c>
      <c r="DA27" s="65">
        <f t="shared" si="53"/>
        <v>0.36058267116774628</v>
      </c>
      <c r="DB27" s="64">
        <f t="shared" si="54"/>
        <v>0.47664772577644193</v>
      </c>
      <c r="DC27" s="65">
        <f t="shared" si="55"/>
        <v>0.32376014386339841</v>
      </c>
      <c r="DD27" s="64">
        <f t="shared" si="56"/>
        <v>0.49078772577644192</v>
      </c>
      <c r="DE27" s="65">
        <f t="shared" si="57"/>
        <v>0.28693761655905059</v>
      </c>
      <c r="DF27" s="64">
        <f t="shared" si="58"/>
        <v>0.50492772577644196</v>
      </c>
      <c r="DG27" s="65">
        <f t="shared" si="59"/>
        <v>0.25011508925470283</v>
      </c>
      <c r="DL27">
        <v>2037</v>
      </c>
      <c r="DM27" s="64">
        <f t="shared" si="60"/>
        <v>0.25011508925470283</v>
      </c>
      <c r="DN27" s="64">
        <f t="shared" si="61"/>
        <v>0.28693761655905059</v>
      </c>
      <c r="DO27" s="64">
        <f t="shared" si="62"/>
        <v>0.32376014386339841</v>
      </c>
      <c r="DP27" s="64">
        <f t="shared" si="63"/>
        <v>0.36058267116774628</v>
      </c>
      <c r="DQ27" s="64">
        <f t="shared" si="64"/>
        <v>0.3974051984720941</v>
      </c>
      <c r="DR27" s="64">
        <f t="shared" si="65"/>
        <v>0.41540057977132688</v>
      </c>
      <c r="DS27" s="64">
        <f t="shared" si="26"/>
        <v>0.43339596107055961</v>
      </c>
      <c r="DT27" s="64">
        <f t="shared" si="27"/>
        <v>0.51823596107055958</v>
      </c>
      <c r="DU27" s="64">
        <f t="shared" si="28"/>
        <v>0.76349143552311427</v>
      </c>
      <c r="DV27" s="64">
        <f t="shared" si="29"/>
        <v>0.82263985401459849</v>
      </c>
      <c r="DW27" s="64">
        <f t="shared" si="30"/>
        <v>0.85117999999999994</v>
      </c>
      <c r="DX27" s="64">
        <f t="shared" si="31"/>
        <v>0.91867999999999994</v>
      </c>
      <c r="DY27" s="64">
        <f t="shared" si="32"/>
        <v>0.92992999999999992</v>
      </c>
      <c r="DZ27" s="64">
        <f t="shared" si="33"/>
        <v>0.93367999999999995</v>
      </c>
      <c r="EA27" s="3">
        <f t="shared" si="66"/>
        <v>0.95</v>
      </c>
      <c r="EB27">
        <v>2037</v>
      </c>
      <c r="EC27" s="269">
        <f t="shared" si="67"/>
        <v>0.25011508925470294</v>
      </c>
      <c r="ED27" s="269">
        <f t="shared" si="68"/>
        <v>0.05</v>
      </c>
      <c r="EE27" s="64">
        <f t="shared" ref="EE27:ER40" si="184">(DN27-DM27)</f>
        <v>3.6822527304347763E-2</v>
      </c>
      <c r="EF27" s="64">
        <f t="shared" si="184"/>
        <v>3.6822527304347819E-2</v>
      </c>
      <c r="EG27" s="64">
        <f t="shared" si="184"/>
        <v>3.6822527304347874E-2</v>
      </c>
      <c r="EH27" s="64">
        <f t="shared" si="184"/>
        <v>3.6822527304347819E-2</v>
      </c>
      <c r="EI27" s="64">
        <f t="shared" si="184"/>
        <v>1.7995381299232782E-2</v>
      </c>
      <c r="EJ27" s="64">
        <f t="shared" si="184"/>
        <v>1.7995381299232727E-2</v>
      </c>
      <c r="EK27" s="64">
        <f t="shared" si="184"/>
        <v>8.4839999999999971E-2</v>
      </c>
      <c r="EL27" s="64">
        <f t="shared" si="184"/>
        <v>0.24525547445255469</v>
      </c>
      <c r="EM27" s="64">
        <f t="shared" si="184"/>
        <v>5.9148418491484223E-2</v>
      </c>
      <c r="EN27" s="64">
        <f t="shared" si="184"/>
        <v>2.8540145985401444E-2</v>
      </c>
      <c r="EO27" s="64">
        <f t="shared" si="184"/>
        <v>6.7500000000000004E-2</v>
      </c>
      <c r="EP27" s="64">
        <f t="shared" si="184"/>
        <v>1.1249999999999982E-2</v>
      </c>
      <c r="EQ27" s="64">
        <f t="shared" si="184"/>
        <v>3.7500000000000311E-3</v>
      </c>
      <c r="ER27" s="64">
        <f t="shared" si="184"/>
        <v>1.6320000000000001E-2</v>
      </c>
      <c r="EX27" s="89">
        <v>2037</v>
      </c>
      <c r="EY27" s="278">
        <f t="shared" si="69"/>
        <v>1.0066666666666666</v>
      </c>
      <c r="EZ27" s="278"/>
      <c r="FA27" s="278">
        <f t="shared" si="70"/>
        <v>0.26712161097913611</v>
      </c>
      <c r="FB27" s="278">
        <f t="shared" si="35"/>
        <v>0.05</v>
      </c>
      <c r="FC27" s="64">
        <f t="shared" si="71"/>
        <v>0.26925201925797104</v>
      </c>
      <c r="FD27" s="64">
        <f t="shared" si="72"/>
        <v>1.4062368627450998E-2</v>
      </c>
      <c r="FE27" s="64">
        <f t="shared" si="73"/>
        <v>0.25915328467153281</v>
      </c>
      <c r="FF27" s="64">
        <f t="shared" si="74"/>
        <v>6.2500162206001672E-2</v>
      </c>
      <c r="FG27" s="64">
        <f t="shared" si="75"/>
        <v>3.0157420924574199E-2</v>
      </c>
      <c r="FH27" s="64">
        <f t="shared" si="76"/>
        <v>7.1325000000000013E-2</v>
      </c>
      <c r="FI27" s="64">
        <f t="shared" si="77"/>
        <v>1.1887499999999983E-2</v>
      </c>
      <c r="FJ27" s="64">
        <f t="shared" si="78"/>
        <v>3.9625000000000337E-3</v>
      </c>
      <c r="FK27" s="280">
        <f t="shared" si="79"/>
        <v>1.7244800000000005E-2</v>
      </c>
      <c r="FL27" s="64"/>
      <c r="FM27" s="89">
        <v>2037</v>
      </c>
      <c r="FN27" s="278">
        <f t="shared" si="80"/>
        <v>1.0066666666666666</v>
      </c>
      <c r="FP27" s="278">
        <f t="shared" si="81"/>
        <v>0.30603074816406362</v>
      </c>
      <c r="FQ27" s="278">
        <f t="shared" si="82"/>
        <v>0.05</v>
      </c>
      <c r="FR27" s="64">
        <f t="shared" si="83"/>
        <v>0.21540161540637687</v>
      </c>
      <c r="FS27" s="64">
        <f t="shared" si="84"/>
        <v>2.9003635294117661E-2</v>
      </c>
      <c r="FT27" s="64">
        <f t="shared" si="85"/>
        <v>0.25915328467153281</v>
      </c>
      <c r="FU27" s="64">
        <f t="shared" si="86"/>
        <v>6.2500162206001672E-2</v>
      </c>
      <c r="FV27" s="64">
        <f t="shared" si="87"/>
        <v>3.0157420924574199E-2</v>
      </c>
      <c r="FW27" s="64">
        <f t="shared" si="88"/>
        <v>7.1325000000000013E-2</v>
      </c>
      <c r="FX27" s="64">
        <f t="shared" si="89"/>
        <v>1.1887499999999983E-2</v>
      </c>
      <c r="FY27" s="64">
        <f t="shared" si="90"/>
        <v>3.9625000000000337E-3</v>
      </c>
      <c r="FZ27" s="280">
        <f t="shared" si="91"/>
        <v>1.7244800000000005E-2</v>
      </c>
      <c r="GA27" s="64"/>
      <c r="GB27" s="89">
        <v>2037</v>
      </c>
      <c r="GC27" s="278">
        <f t="shared" si="92"/>
        <v>1.0066666666666666</v>
      </c>
      <c r="GE27" s="278">
        <f t="shared" si="93"/>
        <v>0.34493988534899112</v>
      </c>
      <c r="GF27" s="278">
        <f t="shared" si="94"/>
        <v>0.05</v>
      </c>
      <c r="GG27" s="64">
        <f t="shared" si="95"/>
        <v>0.16155121155478266</v>
      </c>
      <c r="GH27" s="64">
        <f t="shared" si="96"/>
        <v>4.3944901960784322E-2</v>
      </c>
      <c r="GI27" s="64">
        <f t="shared" si="97"/>
        <v>0.25915328467153281</v>
      </c>
      <c r="GJ27" s="64">
        <f t="shared" si="98"/>
        <v>6.2500162206001672E-2</v>
      </c>
      <c r="GK27" s="64">
        <f t="shared" si="99"/>
        <v>3.0157420924574199E-2</v>
      </c>
      <c r="GL27" s="64">
        <f t="shared" si="100"/>
        <v>7.1325000000000013E-2</v>
      </c>
      <c r="GM27" s="64">
        <f t="shared" si="101"/>
        <v>1.1887499999999983E-2</v>
      </c>
      <c r="GN27" s="64">
        <f t="shared" si="102"/>
        <v>3.9625000000000337E-3</v>
      </c>
      <c r="GO27" s="280">
        <f t="shared" si="103"/>
        <v>1.7244800000000005E-2</v>
      </c>
      <c r="GP27" s="64"/>
      <c r="GQ27" s="89">
        <v>2037</v>
      </c>
      <c r="GR27" s="278">
        <f t="shared" si="104"/>
        <v>1.0066666666666666</v>
      </c>
      <c r="GT27" s="278">
        <f t="shared" si="105"/>
        <v>0.38384902253391862</v>
      </c>
      <c r="GU27" s="278">
        <f t="shared" si="106"/>
        <v>0.05</v>
      </c>
      <c r="GV27" s="64">
        <f t="shared" si="107"/>
        <v>0.10770080770318845</v>
      </c>
      <c r="GW27" s="64">
        <f t="shared" si="108"/>
        <v>5.8886168627450983E-2</v>
      </c>
      <c r="GX27" s="64">
        <f t="shared" si="109"/>
        <v>0.25915328467153281</v>
      </c>
      <c r="GY27" s="64">
        <f t="shared" si="110"/>
        <v>6.2500162206001672E-2</v>
      </c>
      <c r="GZ27" s="64">
        <f t="shared" si="111"/>
        <v>3.0157420924574199E-2</v>
      </c>
      <c r="HA27" s="64">
        <f t="shared" si="112"/>
        <v>7.1325000000000013E-2</v>
      </c>
      <c r="HB27" s="64">
        <f t="shared" si="113"/>
        <v>1.1887499999999983E-2</v>
      </c>
      <c r="HC27" s="64">
        <f t="shared" si="114"/>
        <v>3.9625000000000337E-3</v>
      </c>
      <c r="HD27" s="280">
        <f t="shared" si="115"/>
        <v>1.7244800000000005E-2</v>
      </c>
      <c r="HE27" s="64"/>
      <c r="HF27" s="89">
        <v>2037</v>
      </c>
      <c r="HG27" s="278">
        <f t="shared" si="116"/>
        <v>1.0066666666666666</v>
      </c>
      <c r="HI27" s="278">
        <f t="shared" si="117"/>
        <v>0.42275815971884612</v>
      </c>
      <c r="HJ27" s="278">
        <f t="shared" si="118"/>
        <v>0.05</v>
      </c>
      <c r="HK27" s="64">
        <f t="shared" si="119"/>
        <v>5.3850403851594203E-2</v>
      </c>
      <c r="HL27" s="64">
        <f t="shared" si="120"/>
        <v>7.3827435294117644E-2</v>
      </c>
      <c r="HM27" s="64">
        <f t="shared" si="121"/>
        <v>0.25915328467153281</v>
      </c>
      <c r="HN27" s="64">
        <f t="shared" si="122"/>
        <v>6.2500162206001672E-2</v>
      </c>
      <c r="HO27" s="64">
        <f t="shared" si="123"/>
        <v>3.0157420924574199E-2</v>
      </c>
      <c r="HP27" s="64">
        <f t="shared" si="124"/>
        <v>7.1325000000000013E-2</v>
      </c>
      <c r="HQ27" s="64">
        <f t="shared" si="125"/>
        <v>1.1887499999999983E-2</v>
      </c>
      <c r="HR27" s="64">
        <f t="shared" si="126"/>
        <v>3.9625000000000337E-3</v>
      </c>
      <c r="HS27" s="280">
        <f t="shared" si="127"/>
        <v>1.7244800000000005E-2</v>
      </c>
      <c r="HT27" s="64"/>
      <c r="HU27" s="89">
        <v>2037</v>
      </c>
      <c r="HV27" s="278">
        <f t="shared" si="128"/>
        <v>1.0066666666666666</v>
      </c>
      <c r="HX27" s="278">
        <f t="shared" si="129"/>
        <v>0.44177327929170218</v>
      </c>
      <c r="HY27" s="278">
        <f t="shared" si="130"/>
        <v>0.05</v>
      </c>
      <c r="HZ27" s="64">
        <f t="shared" si="131"/>
        <v>2.6925201925797084E-2</v>
      </c>
      <c r="IA27" s="64">
        <f t="shared" si="132"/>
        <v>8.1737517647058819E-2</v>
      </c>
      <c r="IB27" s="64">
        <f t="shared" si="133"/>
        <v>0.25915328467153281</v>
      </c>
      <c r="IC27" s="64">
        <f t="shared" si="134"/>
        <v>6.2500162206001672E-2</v>
      </c>
      <c r="ID27" s="64">
        <f t="shared" si="135"/>
        <v>3.0157420924574199E-2</v>
      </c>
      <c r="IE27" s="64">
        <f t="shared" si="136"/>
        <v>7.1325000000000013E-2</v>
      </c>
      <c r="IF27" s="64">
        <f t="shared" si="137"/>
        <v>1.1887499999999983E-2</v>
      </c>
      <c r="IG27" s="64">
        <f t="shared" si="138"/>
        <v>3.9625000000000337E-3</v>
      </c>
      <c r="IH27" s="280">
        <f t="shared" si="139"/>
        <v>1.7244800000000005E-2</v>
      </c>
      <c r="II27" s="64"/>
      <c r="IJ27" s="89">
        <v>2037</v>
      </c>
      <c r="IK27" s="278">
        <f t="shared" si="140"/>
        <v>1.0066666666666666</v>
      </c>
      <c r="IM27" s="278">
        <f t="shared" si="141"/>
        <v>0.46078839886455802</v>
      </c>
      <c r="IN27" s="278">
        <f t="shared" si="142"/>
        <v>0.05</v>
      </c>
      <c r="IO27" s="64">
        <v>0</v>
      </c>
      <c r="IP27" s="64">
        <f t="shared" si="143"/>
        <v>8.9647599999999994E-2</v>
      </c>
      <c r="IQ27" s="64">
        <f t="shared" si="144"/>
        <v>0.25915328467153281</v>
      </c>
      <c r="IR27" s="64">
        <f t="shared" si="145"/>
        <v>6.2500162206001672E-2</v>
      </c>
      <c r="IS27" s="64">
        <f t="shared" si="146"/>
        <v>3.0157420924574199E-2</v>
      </c>
      <c r="IT27" s="64">
        <f t="shared" si="147"/>
        <v>7.1325000000000013E-2</v>
      </c>
      <c r="IU27" s="64">
        <f t="shared" si="148"/>
        <v>1.1887499999999983E-2</v>
      </c>
      <c r="IV27" s="64">
        <f t="shared" si="149"/>
        <v>3.9625000000000337E-3</v>
      </c>
      <c r="IW27" s="280">
        <f t="shared" si="150"/>
        <v>1.7244800000000005E-2</v>
      </c>
      <c r="IX27" s="3">
        <f t="shared" si="151"/>
        <v>0.32750000000000057</v>
      </c>
      <c r="IY27">
        <f t="shared" si="36"/>
        <v>2037</v>
      </c>
      <c r="IZ27" s="3">
        <f t="shared" si="152"/>
        <v>12.482730733576645</v>
      </c>
      <c r="JA27" s="353">
        <f>HLOOKUP($JG$3,'Timing calculations'!JH$8:JT$39,20,FALSE)</f>
        <v>12.026524940550228</v>
      </c>
      <c r="JB27" s="3">
        <f t="shared" si="153"/>
        <v>17.61</v>
      </c>
      <c r="JC27" s="353">
        <f t="shared" si="154"/>
        <v>18.536842105263158</v>
      </c>
      <c r="JD27" s="418">
        <f t="shared" si="37"/>
        <v>0.3274999999999999</v>
      </c>
      <c r="JE27" s="368">
        <f t="shared" si="155"/>
        <v>10.359999999999994</v>
      </c>
      <c r="JF27" s="369">
        <f t="shared" si="156"/>
        <v>10.905263157894732</v>
      </c>
      <c r="JG27" s="363">
        <f t="shared" si="157"/>
        <v>11.159083764554985</v>
      </c>
      <c r="JH27" s="362">
        <f t="shared" si="38"/>
        <v>11.74640396268946</v>
      </c>
      <c r="JI27" s="366">
        <f t="shared" si="39"/>
        <v>11.425198693522717</v>
      </c>
      <c r="JJ27" s="367">
        <f t="shared" si="9"/>
        <v>12.026524940550228</v>
      </c>
      <c r="JK27" s="363">
        <f t="shared" si="40"/>
        <v>11.691313622490446</v>
      </c>
      <c r="JL27" s="362">
        <f t="shared" si="41"/>
        <v>12.306645918410997</v>
      </c>
      <c r="JM27" s="366">
        <f t="shared" si="158"/>
        <v>11.957428551458179</v>
      </c>
      <c r="JN27" s="367">
        <f t="shared" si="42"/>
        <v>12.586766896271767</v>
      </c>
      <c r="JO27" s="363">
        <f t="shared" si="159"/>
        <v>12.223543480425908</v>
      </c>
      <c r="JP27" s="362">
        <f t="shared" si="43"/>
        <v>12.866887874132535</v>
      </c>
      <c r="JQ27" s="366">
        <f t="shared" si="160"/>
        <v>12.353137107001277</v>
      </c>
      <c r="JR27" s="367">
        <f t="shared" si="44"/>
        <v>13.003302217896081</v>
      </c>
      <c r="JS27" s="363">
        <f t="shared" si="161"/>
        <v>12.482730733576645</v>
      </c>
      <c r="JT27" s="362">
        <f t="shared" si="45"/>
        <v>13.139716561659627</v>
      </c>
    </row>
    <row r="28" spans="1:282">
      <c r="A28" s="247" t="s">
        <v>106</v>
      </c>
      <c r="B28" s="247"/>
      <c r="C28" s="247"/>
      <c r="D28" s="247"/>
      <c r="E28" s="247"/>
      <c r="F28" s="247"/>
      <c r="H28" s="723"/>
      <c r="I28" s="583"/>
      <c r="J28" s="724"/>
      <c r="AO28" s="89">
        <v>2038</v>
      </c>
      <c r="AP28" s="170">
        <f t="shared" si="162"/>
        <v>-1.7280000000000004E-2</v>
      </c>
      <c r="AQ28" s="170">
        <f t="shared" si="162"/>
        <v>-4.0000000000000018E-3</v>
      </c>
      <c r="AR28" s="170">
        <f t="shared" si="162"/>
        <v>-1.2115384615384613E-2</v>
      </c>
      <c r="AS28" s="170">
        <f t="shared" si="162"/>
        <v>-6.7500000000000004E-2</v>
      </c>
      <c r="AU28" s="170">
        <f t="shared" si="163"/>
        <v>-3.0218978102189778E-2</v>
      </c>
      <c r="AV28" s="170">
        <f t="shared" si="163"/>
        <v>-6.2627737226277375E-2</v>
      </c>
      <c r="AW28" s="170">
        <f t="shared" si="163"/>
        <v>-0.24525547445255474</v>
      </c>
      <c r="AY28" s="170">
        <f t="shared" si="164"/>
        <v>-8.4839999999999971E-2</v>
      </c>
      <c r="AZ28" s="278">
        <f t="shared" si="165"/>
        <v>7.9849411764705853E-3</v>
      </c>
      <c r="BA28" s="284">
        <f t="shared" si="166"/>
        <v>-3.1209611269565195E-2</v>
      </c>
      <c r="BB28" s="276">
        <f t="shared" si="167"/>
        <v>-3.4484222144927516E-2</v>
      </c>
      <c r="BC28" s="277">
        <f t="shared" si="10"/>
        <v>-2.7741876684057951E-2</v>
      </c>
      <c r="BD28" s="278">
        <f t="shared" si="168"/>
        <v>7.9849411764705853E-3</v>
      </c>
      <c r="BE28" s="284">
        <f t="shared" si="169"/>
        <v>-3.1209611269565236E-2</v>
      </c>
      <c r="BF28" s="276">
        <f t="shared" si="170"/>
        <v>-3.4484222144927516E-2</v>
      </c>
      <c r="BG28" s="277">
        <f t="shared" si="11"/>
        <v>-2.7741876684057989E-2</v>
      </c>
      <c r="BH28" s="278">
        <f t="shared" si="171"/>
        <v>1.5082666666666661E-2</v>
      </c>
      <c r="BI28" s="284">
        <f t="shared" si="172"/>
        <v>-6.2419222539130459E-2</v>
      </c>
      <c r="BJ28" s="276">
        <f t="shared" si="173"/>
        <v>-6.8968444289855144E-2</v>
      </c>
      <c r="BK28" s="277">
        <f t="shared" si="12"/>
        <v>-5.5483753368115972E-2</v>
      </c>
      <c r="BL28" s="278">
        <f t="shared" si="174"/>
        <v>1.5082666666666661E-2</v>
      </c>
      <c r="BM28" s="284">
        <f t="shared" si="175"/>
        <v>-6.2419222539130417E-2</v>
      </c>
      <c r="BN28" s="276">
        <f t="shared" si="176"/>
        <v>-6.8968444289855019E-2</v>
      </c>
      <c r="BO28" s="277">
        <f t="shared" si="13"/>
        <v>-5.5483753368115937E-2</v>
      </c>
      <c r="BP28" s="278">
        <f t="shared" si="177"/>
        <v>1.5082666666666661E-2</v>
      </c>
      <c r="BQ28" s="284">
        <f t="shared" si="178"/>
        <v>-6.2419222539130473E-2</v>
      </c>
      <c r="BR28" s="276">
        <f t="shared" si="179"/>
        <v>-6.8968444289855074E-2</v>
      </c>
      <c r="BS28" s="277">
        <f t="shared" si="14"/>
        <v>-5.5483753368115951E-2</v>
      </c>
      <c r="BT28" s="278">
        <f t="shared" si="180"/>
        <v>1.5082666666666661E-2</v>
      </c>
      <c r="BU28" s="284">
        <f t="shared" si="181"/>
        <v>-6.2419222539130417E-2</v>
      </c>
      <c r="BV28" s="276">
        <f t="shared" si="182"/>
        <v>-6.896844428985506E-2</v>
      </c>
      <c r="BW28" s="278">
        <f t="shared" si="15"/>
        <v>-5.548375336811593E-2</v>
      </c>
      <c r="BX28" s="391">
        <f t="shared" si="46"/>
        <v>-2.3622117647058821E-2</v>
      </c>
      <c r="BY28" s="392">
        <f t="shared" si="47"/>
        <v>-0.2219350134724638</v>
      </c>
      <c r="BZ28" s="278"/>
      <c r="CB28" s="279">
        <f t="shared" si="183"/>
        <v>-0.52383757439640655</v>
      </c>
      <c r="CC28" s="64">
        <f t="shared" si="17"/>
        <v>-0.54359450990399383</v>
      </c>
      <c r="CD28" s="64">
        <f t="shared" si="18"/>
        <v>-0.56335144541158122</v>
      </c>
      <c r="CE28" s="64">
        <f t="shared" si="19"/>
        <v>-0.60375253211303048</v>
      </c>
      <c r="CF28" s="64">
        <f t="shared" si="20"/>
        <v>-0.64415361881447974</v>
      </c>
      <c r="CG28" s="64">
        <f t="shared" si="21"/>
        <v>-0.68455470551592901</v>
      </c>
      <c r="CH28" s="64">
        <f t="shared" si="22"/>
        <v>-0.72495579221737827</v>
      </c>
      <c r="CI28">
        <v>2038</v>
      </c>
      <c r="CJ28" s="240"/>
      <c r="CL28">
        <v>2038</v>
      </c>
      <c r="CM28" s="3">
        <f t="shared" si="48"/>
        <v>0.95</v>
      </c>
      <c r="CN28" s="64">
        <f t="shared" si="23"/>
        <v>0.93271999999999999</v>
      </c>
      <c r="CO28" s="64">
        <f t="shared" si="23"/>
        <v>0.92871999999999999</v>
      </c>
      <c r="CP28" s="64">
        <f t="shared" si="23"/>
        <v>0.91660461538461535</v>
      </c>
      <c r="CQ28" s="64">
        <f t="shared" si="23"/>
        <v>0.84910461538461535</v>
      </c>
      <c r="CR28" s="64">
        <f t="shared" si="24"/>
        <v>0.81888563728242558</v>
      </c>
      <c r="CS28" s="64">
        <f t="shared" si="24"/>
        <v>0.75625790005614824</v>
      </c>
      <c r="CT28" s="64">
        <f t="shared" si="24"/>
        <v>0.51100242560359344</v>
      </c>
      <c r="CU28" s="64">
        <f t="shared" si="25"/>
        <v>0.42616242560359346</v>
      </c>
      <c r="CV28" s="64">
        <f t="shared" si="25"/>
        <v>0.43414736678006405</v>
      </c>
      <c r="CW28" s="65">
        <f t="shared" si="49"/>
        <v>0.40640549009600607</v>
      </c>
      <c r="CX28" s="64">
        <f t="shared" si="50"/>
        <v>0.44213230795653463</v>
      </c>
      <c r="CY28" s="65">
        <f t="shared" si="51"/>
        <v>0.38664855458841868</v>
      </c>
      <c r="CZ28" s="64">
        <f t="shared" si="52"/>
        <v>0.45721497462320126</v>
      </c>
      <c r="DA28" s="65">
        <f t="shared" si="53"/>
        <v>0.34624746788696936</v>
      </c>
      <c r="DB28" s="64">
        <f t="shared" si="54"/>
        <v>0.47229764128986795</v>
      </c>
      <c r="DC28" s="65">
        <f t="shared" si="55"/>
        <v>0.3058463811855201</v>
      </c>
      <c r="DD28" s="64">
        <f t="shared" si="56"/>
        <v>0.48738030795653464</v>
      </c>
      <c r="DE28" s="65">
        <f t="shared" si="57"/>
        <v>0.26544529448407084</v>
      </c>
      <c r="DF28" s="64">
        <f t="shared" si="58"/>
        <v>0.50246297462320133</v>
      </c>
      <c r="DG28" s="65">
        <f t="shared" si="59"/>
        <v>0.2250442077826216</v>
      </c>
      <c r="DL28">
        <v>2038</v>
      </c>
      <c r="DM28" s="64">
        <f t="shared" si="60"/>
        <v>0.2250442077826216</v>
      </c>
      <c r="DN28" s="64">
        <f t="shared" si="61"/>
        <v>0.26544529448407084</v>
      </c>
      <c r="DO28" s="64">
        <f t="shared" si="62"/>
        <v>0.3058463811855201</v>
      </c>
      <c r="DP28" s="64">
        <f t="shared" si="63"/>
        <v>0.34624746788696936</v>
      </c>
      <c r="DQ28" s="64">
        <f t="shared" si="64"/>
        <v>0.38664855458841868</v>
      </c>
      <c r="DR28" s="64">
        <f t="shared" si="65"/>
        <v>0.40640549009600607</v>
      </c>
      <c r="DS28" s="64">
        <f t="shared" si="26"/>
        <v>0.42616242560359346</v>
      </c>
      <c r="DT28" s="64">
        <f t="shared" si="27"/>
        <v>0.51100242560359344</v>
      </c>
      <c r="DU28" s="64">
        <f t="shared" si="28"/>
        <v>0.75625790005614824</v>
      </c>
      <c r="DV28" s="64">
        <f t="shared" si="29"/>
        <v>0.81888563728242558</v>
      </c>
      <c r="DW28" s="64">
        <f t="shared" si="30"/>
        <v>0.84910461538461535</v>
      </c>
      <c r="DX28" s="64">
        <f t="shared" si="31"/>
        <v>0.91660461538461535</v>
      </c>
      <c r="DY28" s="64">
        <f t="shared" si="32"/>
        <v>0.92871999999999999</v>
      </c>
      <c r="DZ28" s="64">
        <f t="shared" si="33"/>
        <v>0.93271999999999999</v>
      </c>
      <c r="EA28" s="3">
        <f t="shared" si="66"/>
        <v>0.95</v>
      </c>
      <c r="EB28">
        <v>2038</v>
      </c>
      <c r="EC28" s="269">
        <f t="shared" si="67"/>
        <v>0.22504420778262157</v>
      </c>
      <c r="ED28" s="269">
        <f t="shared" si="68"/>
        <v>0.05</v>
      </c>
      <c r="EE28" s="64">
        <f t="shared" si="184"/>
        <v>4.0401086701449235E-2</v>
      </c>
      <c r="EF28" s="64">
        <f t="shared" si="184"/>
        <v>4.0401086701449263E-2</v>
      </c>
      <c r="EG28" s="64">
        <f t="shared" si="184"/>
        <v>4.0401086701449263E-2</v>
      </c>
      <c r="EH28" s="64">
        <f t="shared" si="184"/>
        <v>4.0401086701449318E-2</v>
      </c>
      <c r="EI28" s="64">
        <f t="shared" si="184"/>
        <v>1.9756935507587392E-2</v>
      </c>
      <c r="EJ28" s="64">
        <f t="shared" si="184"/>
        <v>1.9756935507587392E-2</v>
      </c>
      <c r="EK28" s="64">
        <f t="shared" si="184"/>
        <v>8.4839999999999971E-2</v>
      </c>
      <c r="EL28" s="64">
        <f t="shared" si="184"/>
        <v>0.2452554744525548</v>
      </c>
      <c r="EM28" s="64">
        <f t="shared" si="184"/>
        <v>6.2627737226277347E-2</v>
      </c>
      <c r="EN28" s="64">
        <f t="shared" si="184"/>
        <v>3.0218978102189764E-2</v>
      </c>
      <c r="EO28" s="64">
        <f t="shared" si="184"/>
        <v>6.7500000000000004E-2</v>
      </c>
      <c r="EP28" s="64">
        <f t="shared" si="184"/>
        <v>1.2115384615384639E-2</v>
      </c>
      <c r="EQ28" s="64">
        <f t="shared" si="184"/>
        <v>4.0000000000000036E-3</v>
      </c>
      <c r="ER28" s="64">
        <f t="shared" si="184"/>
        <v>1.7279999999999962E-2</v>
      </c>
      <c r="EX28" s="89">
        <v>2038</v>
      </c>
      <c r="EY28" s="278">
        <f t="shared" si="69"/>
        <v>1.01</v>
      </c>
      <c r="EZ28" s="278"/>
      <c r="FA28" s="278">
        <f t="shared" si="70"/>
        <v>0.24154686024957905</v>
      </c>
      <c r="FB28" s="278">
        <f t="shared" si="35"/>
        <v>0.05</v>
      </c>
      <c r="FC28" s="64">
        <f t="shared" si="71"/>
        <v>0.29406389285101447</v>
      </c>
      <c r="FD28" s="64">
        <f t="shared" si="72"/>
        <v>9.0518180392156877E-3</v>
      </c>
      <c r="FE28" s="64">
        <f t="shared" si="73"/>
        <v>0.25997080291970803</v>
      </c>
      <c r="FF28" s="64">
        <f t="shared" si="74"/>
        <v>6.6385401459853971E-2</v>
      </c>
      <c r="FG28" s="64">
        <f t="shared" si="75"/>
        <v>3.2032116788321144E-2</v>
      </c>
      <c r="FH28" s="64">
        <f t="shared" si="76"/>
        <v>7.1549999999999989E-2</v>
      </c>
      <c r="FI28" s="64">
        <f t="shared" si="77"/>
        <v>1.2842307692307715E-2</v>
      </c>
      <c r="FJ28" s="64">
        <f t="shared" si="78"/>
        <v>4.2400000000000033E-3</v>
      </c>
      <c r="FK28" s="280">
        <f t="shared" si="79"/>
        <v>1.8316799999999956E-2</v>
      </c>
      <c r="FL28" s="64"/>
      <c r="FM28" s="89">
        <v>2038</v>
      </c>
      <c r="FN28" s="278">
        <f t="shared" si="80"/>
        <v>1.01</v>
      </c>
      <c r="FP28" s="278">
        <f t="shared" si="81"/>
        <v>0.28437201215311514</v>
      </c>
      <c r="FQ28" s="278">
        <f t="shared" si="82"/>
        <v>0.05</v>
      </c>
      <c r="FR28" s="64">
        <f t="shared" si="83"/>
        <v>0.23525111428081161</v>
      </c>
      <c r="FS28" s="64">
        <f t="shared" si="84"/>
        <v>2.5039444705882347E-2</v>
      </c>
      <c r="FT28" s="64">
        <f t="shared" si="85"/>
        <v>0.25997080291970803</v>
      </c>
      <c r="FU28" s="64">
        <f t="shared" si="86"/>
        <v>6.6385401459853971E-2</v>
      </c>
      <c r="FV28" s="64">
        <f t="shared" si="87"/>
        <v>3.2032116788321144E-2</v>
      </c>
      <c r="FW28" s="64">
        <f t="shared" si="88"/>
        <v>7.1549999999999989E-2</v>
      </c>
      <c r="FX28" s="64">
        <f t="shared" si="89"/>
        <v>1.2842307692307715E-2</v>
      </c>
      <c r="FY28" s="64">
        <f t="shared" si="90"/>
        <v>4.2400000000000033E-3</v>
      </c>
      <c r="FZ28" s="280">
        <f t="shared" si="91"/>
        <v>1.8316799999999956E-2</v>
      </c>
      <c r="GA28" s="64"/>
      <c r="GB28" s="89">
        <v>2038</v>
      </c>
      <c r="GC28" s="278">
        <f t="shared" si="92"/>
        <v>1.01</v>
      </c>
      <c r="GE28" s="278">
        <f t="shared" si="93"/>
        <v>0.32719716405665145</v>
      </c>
      <c r="GF28" s="278">
        <f t="shared" si="94"/>
        <v>0.05</v>
      </c>
      <c r="GG28" s="64">
        <f t="shared" si="95"/>
        <v>0.17643833571060868</v>
      </c>
      <c r="GH28" s="64">
        <f t="shared" si="96"/>
        <v>4.1027071372549004E-2</v>
      </c>
      <c r="GI28" s="64">
        <f t="shared" si="97"/>
        <v>0.25997080291970803</v>
      </c>
      <c r="GJ28" s="64">
        <f t="shared" si="98"/>
        <v>6.6385401459853971E-2</v>
      </c>
      <c r="GK28" s="64">
        <f t="shared" si="99"/>
        <v>3.2032116788321144E-2</v>
      </c>
      <c r="GL28" s="64">
        <f t="shared" si="100"/>
        <v>7.1549999999999989E-2</v>
      </c>
      <c r="GM28" s="64">
        <f t="shared" si="101"/>
        <v>1.2842307692307715E-2</v>
      </c>
      <c r="GN28" s="64">
        <f t="shared" si="102"/>
        <v>4.2400000000000033E-3</v>
      </c>
      <c r="GO28" s="280">
        <f t="shared" si="103"/>
        <v>1.8316799999999956E-2</v>
      </c>
      <c r="GP28" s="64"/>
      <c r="GQ28" s="89">
        <v>2038</v>
      </c>
      <c r="GR28" s="278">
        <f t="shared" si="104"/>
        <v>1.01</v>
      </c>
      <c r="GT28" s="278">
        <f t="shared" si="105"/>
        <v>0.37002231596018764</v>
      </c>
      <c r="GU28" s="278">
        <f t="shared" si="106"/>
        <v>0.05</v>
      </c>
      <c r="GV28" s="64">
        <f t="shared" si="107"/>
        <v>0.1176255571404058</v>
      </c>
      <c r="GW28" s="64">
        <f t="shared" si="108"/>
        <v>5.7014698039215661E-2</v>
      </c>
      <c r="GX28" s="64">
        <f t="shared" si="109"/>
        <v>0.25997080291970803</v>
      </c>
      <c r="GY28" s="64">
        <f t="shared" si="110"/>
        <v>6.6385401459853971E-2</v>
      </c>
      <c r="GZ28" s="64">
        <f t="shared" si="111"/>
        <v>3.2032116788321144E-2</v>
      </c>
      <c r="HA28" s="64">
        <f t="shared" si="112"/>
        <v>7.1549999999999989E-2</v>
      </c>
      <c r="HB28" s="64">
        <f t="shared" si="113"/>
        <v>1.2842307692307715E-2</v>
      </c>
      <c r="HC28" s="64">
        <f t="shared" si="114"/>
        <v>4.2400000000000033E-3</v>
      </c>
      <c r="HD28" s="280">
        <f t="shared" si="115"/>
        <v>1.8316799999999956E-2</v>
      </c>
      <c r="HE28" s="64"/>
      <c r="HF28" s="89">
        <v>2038</v>
      </c>
      <c r="HG28" s="278">
        <f t="shared" si="116"/>
        <v>1.01</v>
      </c>
      <c r="HI28" s="278">
        <f t="shared" si="117"/>
        <v>0.41284746786372406</v>
      </c>
      <c r="HJ28" s="278">
        <f t="shared" si="118"/>
        <v>0.05</v>
      </c>
      <c r="HK28" s="64">
        <f t="shared" si="119"/>
        <v>5.8812778570202881E-2</v>
      </c>
      <c r="HL28" s="64">
        <f t="shared" si="120"/>
        <v>7.3002324705882318E-2</v>
      </c>
      <c r="HM28" s="64">
        <f t="shared" si="121"/>
        <v>0.25997080291970803</v>
      </c>
      <c r="HN28" s="64">
        <f t="shared" si="122"/>
        <v>6.6385401459853971E-2</v>
      </c>
      <c r="HO28" s="64">
        <f t="shared" si="123"/>
        <v>3.2032116788321144E-2</v>
      </c>
      <c r="HP28" s="64">
        <f t="shared" si="124"/>
        <v>7.1549999999999989E-2</v>
      </c>
      <c r="HQ28" s="64">
        <f t="shared" si="125"/>
        <v>1.2842307692307715E-2</v>
      </c>
      <c r="HR28" s="64">
        <f t="shared" si="126"/>
        <v>4.2400000000000033E-3</v>
      </c>
      <c r="HS28" s="280">
        <f t="shared" si="127"/>
        <v>1.8316799999999956E-2</v>
      </c>
      <c r="HT28" s="64"/>
      <c r="HU28" s="89">
        <v>2038</v>
      </c>
      <c r="HV28" s="278">
        <f t="shared" si="128"/>
        <v>1.01</v>
      </c>
      <c r="HX28" s="278">
        <f t="shared" si="129"/>
        <v>0.43378981950176665</v>
      </c>
      <c r="HY28" s="278">
        <f t="shared" si="130"/>
        <v>0.05</v>
      </c>
      <c r="HZ28" s="64">
        <f t="shared" si="131"/>
        <v>2.9406389285101423E-2</v>
      </c>
      <c r="IA28" s="64">
        <f t="shared" si="132"/>
        <v>8.1466362352941135E-2</v>
      </c>
      <c r="IB28" s="64">
        <f t="shared" si="133"/>
        <v>0.25997080291970803</v>
      </c>
      <c r="IC28" s="64">
        <f t="shared" si="134"/>
        <v>6.6385401459853971E-2</v>
      </c>
      <c r="ID28" s="64">
        <f t="shared" si="135"/>
        <v>3.2032116788321144E-2</v>
      </c>
      <c r="IE28" s="64">
        <f t="shared" si="136"/>
        <v>7.1549999999999989E-2</v>
      </c>
      <c r="IF28" s="64">
        <f t="shared" si="137"/>
        <v>1.2842307692307715E-2</v>
      </c>
      <c r="IG28" s="64">
        <f t="shared" si="138"/>
        <v>4.2400000000000033E-3</v>
      </c>
      <c r="IH28" s="280">
        <f t="shared" si="139"/>
        <v>1.8316799999999956E-2</v>
      </c>
      <c r="II28" s="64"/>
      <c r="IJ28" s="89">
        <v>2038</v>
      </c>
      <c r="IK28" s="278">
        <f t="shared" si="140"/>
        <v>1.01</v>
      </c>
      <c r="IM28" s="278">
        <f t="shared" si="141"/>
        <v>0.45473217113980924</v>
      </c>
      <c r="IN28" s="278">
        <f t="shared" si="142"/>
        <v>0.05</v>
      </c>
      <c r="IO28" s="64">
        <v>0</v>
      </c>
      <c r="IP28" s="64">
        <f t="shared" si="143"/>
        <v>8.9930399999999952E-2</v>
      </c>
      <c r="IQ28" s="64">
        <f t="shared" si="144"/>
        <v>0.25997080291970803</v>
      </c>
      <c r="IR28" s="64">
        <f t="shared" si="145"/>
        <v>6.6385401459853971E-2</v>
      </c>
      <c r="IS28" s="64">
        <f t="shared" si="146"/>
        <v>3.2032116788321144E-2</v>
      </c>
      <c r="IT28" s="64">
        <f t="shared" si="147"/>
        <v>7.1549999999999989E-2</v>
      </c>
      <c r="IU28" s="64">
        <f t="shared" si="148"/>
        <v>1.2842307692307715E-2</v>
      </c>
      <c r="IV28" s="64">
        <f t="shared" si="149"/>
        <v>4.2400000000000033E-3</v>
      </c>
      <c r="IW28" s="280">
        <f t="shared" si="150"/>
        <v>1.8316799999999956E-2</v>
      </c>
      <c r="IX28" s="3">
        <f t="shared" si="151"/>
        <v>0.3100000000000005</v>
      </c>
      <c r="IY28">
        <f t="shared" si="36"/>
        <v>2038</v>
      </c>
      <c r="IZ28" s="3">
        <f t="shared" si="152"/>
        <v>12.937462904716455</v>
      </c>
      <c r="JA28" s="353">
        <f>HLOOKUP($JG$3,'Timing calculations'!JH$8:JT$39,21,FALSE)</f>
        <v>12.325863900711402</v>
      </c>
      <c r="JB28" s="3">
        <f t="shared" si="153"/>
        <v>18.62</v>
      </c>
      <c r="JC28" s="353">
        <f t="shared" si="154"/>
        <v>19.600000000000001</v>
      </c>
      <c r="JD28" s="418">
        <f t="shared" si="37"/>
        <v>0.30999999999999994</v>
      </c>
      <c r="JE28" s="368">
        <f t="shared" si="155"/>
        <v>10.669999999999995</v>
      </c>
      <c r="JF28" s="369">
        <f t="shared" si="156"/>
        <v>11.231578947368416</v>
      </c>
      <c r="JG28" s="363">
        <f t="shared" si="157"/>
        <v>11.400630624804565</v>
      </c>
      <c r="JH28" s="362">
        <f t="shared" si="38"/>
        <v>12.000663815583753</v>
      </c>
      <c r="JI28" s="366">
        <f t="shared" si="39"/>
        <v>11.709570705675832</v>
      </c>
      <c r="JJ28" s="367">
        <f t="shared" si="9"/>
        <v>12.325863900711402</v>
      </c>
      <c r="JK28" s="363">
        <f t="shared" si="40"/>
        <v>12.018510786547097</v>
      </c>
      <c r="JL28" s="362">
        <f t="shared" si="41"/>
        <v>12.65106398583905</v>
      </c>
      <c r="JM28" s="366">
        <f t="shared" si="158"/>
        <v>12.327450867418367</v>
      </c>
      <c r="JN28" s="367">
        <f t="shared" si="42"/>
        <v>12.976264070966703</v>
      </c>
      <c r="JO28" s="363">
        <f t="shared" si="159"/>
        <v>12.636390948289632</v>
      </c>
      <c r="JP28" s="362">
        <f t="shared" si="43"/>
        <v>13.301464156094351</v>
      </c>
      <c r="JQ28" s="366">
        <f t="shared" si="160"/>
        <v>12.786926926503044</v>
      </c>
      <c r="JR28" s="367">
        <f t="shared" si="44"/>
        <v>13.459923080529521</v>
      </c>
      <c r="JS28" s="363">
        <f t="shared" si="161"/>
        <v>12.937462904716455</v>
      </c>
      <c r="JT28" s="362">
        <f t="shared" si="45"/>
        <v>13.61838200496469</v>
      </c>
    </row>
    <row r="29" spans="1:282" ht="14.5" customHeight="1">
      <c r="A29" s="690" t="s">
        <v>107</v>
      </c>
      <c r="B29" s="690"/>
      <c r="C29" s="690"/>
      <c r="D29" s="690"/>
      <c r="E29" s="690"/>
      <c r="F29" s="690"/>
      <c r="G29" s="1"/>
      <c r="H29" s="723" t="s">
        <v>115</v>
      </c>
      <c r="I29" s="583"/>
      <c r="J29" s="724"/>
      <c r="AO29" s="89">
        <v>2039</v>
      </c>
      <c r="AP29" s="170">
        <f t="shared" ref="AP29:AS40" si="185">IF($AO29&gt;=AP$6,IF($AO29&lt;=AP$9,AP$4/(AP$9-AP$6+1)+AP28,AP$4),0)</f>
        <v>-1.8240000000000003E-2</v>
      </c>
      <c r="AQ29" s="170">
        <f t="shared" si="185"/>
        <v>-4.250000000000002E-3</v>
      </c>
      <c r="AR29" s="170">
        <f t="shared" si="185"/>
        <v>-1.2980769230769228E-2</v>
      </c>
      <c r="AS29" s="170">
        <f t="shared" si="185"/>
        <v>-6.7500000000000004E-2</v>
      </c>
      <c r="AU29" s="170">
        <f t="shared" ref="AU29:AW40" si="186">IF($AO29&gt;=AU$6,IF($AO29&lt;=AU$9,AU$4/(AU$9-AU$6+1)+AU28,AU$4),0)</f>
        <v>-3.1897810218978098E-2</v>
      </c>
      <c r="AV29" s="170">
        <f t="shared" si="186"/>
        <v>-6.6107055961070568E-2</v>
      </c>
      <c r="AW29" s="170">
        <f t="shared" si="186"/>
        <v>-0.24525547445255474</v>
      </c>
      <c r="AY29" s="170">
        <f t="shared" si="164"/>
        <v>-8.4839999999999971E-2</v>
      </c>
      <c r="AZ29" s="278">
        <f t="shared" si="165"/>
        <v>8.4839999999999968E-3</v>
      </c>
      <c r="BA29" s="284">
        <f t="shared" si="166"/>
        <v>-3.1841706156521717E-2</v>
      </c>
      <c r="BB29" s="276">
        <f t="shared" si="167"/>
        <v>-3.6639486028985487E-2</v>
      </c>
      <c r="BC29" s="277">
        <f t="shared" si="10"/>
        <v>-3.00727224811594E-2</v>
      </c>
      <c r="BD29" s="278">
        <f t="shared" si="168"/>
        <v>8.4839999999999968E-3</v>
      </c>
      <c r="BE29" s="284">
        <f t="shared" si="169"/>
        <v>-3.1841706156521758E-2</v>
      </c>
      <c r="BF29" s="276">
        <f t="shared" si="170"/>
        <v>-3.6639486028985487E-2</v>
      </c>
      <c r="BG29" s="277">
        <f t="shared" si="11"/>
        <v>-3.0072722481159438E-2</v>
      </c>
      <c r="BH29" s="278">
        <f t="shared" si="171"/>
        <v>1.6025333333333329E-2</v>
      </c>
      <c r="BI29" s="284">
        <f t="shared" si="172"/>
        <v>-6.3683412313043503E-2</v>
      </c>
      <c r="BJ29" s="276">
        <f t="shared" si="173"/>
        <v>-7.3278972057971084E-2</v>
      </c>
      <c r="BK29" s="277">
        <f t="shared" si="12"/>
        <v>-6.014544496231887E-2</v>
      </c>
      <c r="BL29" s="278">
        <f t="shared" si="174"/>
        <v>1.6025333333333329E-2</v>
      </c>
      <c r="BM29" s="284">
        <f t="shared" si="175"/>
        <v>-6.3683412313043461E-2</v>
      </c>
      <c r="BN29" s="276">
        <f t="shared" si="176"/>
        <v>-7.3278972057970959E-2</v>
      </c>
      <c r="BO29" s="277">
        <f t="shared" si="13"/>
        <v>-6.0145444962318835E-2</v>
      </c>
      <c r="BP29" s="278">
        <f t="shared" si="177"/>
        <v>1.6025333333333329E-2</v>
      </c>
      <c r="BQ29" s="284">
        <f t="shared" si="178"/>
        <v>-6.3683412313043516E-2</v>
      </c>
      <c r="BR29" s="276">
        <f t="shared" si="179"/>
        <v>-7.3278972057971015E-2</v>
      </c>
      <c r="BS29" s="277">
        <f t="shared" si="14"/>
        <v>-6.0145444962318849E-2</v>
      </c>
      <c r="BT29" s="278">
        <f t="shared" si="180"/>
        <v>1.6025333333333329E-2</v>
      </c>
      <c r="BU29" s="284">
        <f t="shared" si="181"/>
        <v>-6.3683412313043461E-2</v>
      </c>
      <c r="BV29" s="276">
        <f t="shared" si="182"/>
        <v>-7.3278972057971001E-2</v>
      </c>
      <c r="BW29" s="278">
        <f t="shared" si="15"/>
        <v>-6.0145444962318828E-2</v>
      </c>
      <c r="BX29" s="391">
        <f t="shared" si="46"/>
        <v>-1.9796000000000001E-2</v>
      </c>
      <c r="BY29" s="392">
        <f t="shared" si="47"/>
        <v>-0.2405817798492754</v>
      </c>
      <c r="BZ29" s="278"/>
      <c r="CB29" s="279">
        <f t="shared" si="183"/>
        <v>-0.53107110986337269</v>
      </c>
      <c r="CC29" s="64">
        <f t="shared" si="17"/>
        <v>-0.55265983234453209</v>
      </c>
      <c r="CD29" s="64">
        <f t="shared" si="18"/>
        <v>-0.57424855482569148</v>
      </c>
      <c r="CE29" s="64">
        <f t="shared" si="19"/>
        <v>-0.61836866645467703</v>
      </c>
      <c r="CF29" s="64">
        <f t="shared" si="20"/>
        <v>-0.66248877808366258</v>
      </c>
      <c r="CG29" s="64">
        <f t="shared" si="21"/>
        <v>-0.70660888971264812</v>
      </c>
      <c r="CH29" s="64">
        <f t="shared" si="22"/>
        <v>-0.75072900134163367</v>
      </c>
      <c r="CI29">
        <v>2039</v>
      </c>
      <c r="CJ29" s="240"/>
      <c r="CL29">
        <v>2039</v>
      </c>
      <c r="CM29" s="3">
        <f t="shared" si="48"/>
        <v>0.95</v>
      </c>
      <c r="CN29" s="64">
        <f t="shared" si="23"/>
        <v>0.93175999999999992</v>
      </c>
      <c r="CO29" s="64">
        <f t="shared" si="23"/>
        <v>0.92750999999999995</v>
      </c>
      <c r="CP29" s="64">
        <f t="shared" si="23"/>
        <v>0.91452923076923076</v>
      </c>
      <c r="CQ29" s="64">
        <f t="shared" si="23"/>
        <v>0.84702923076923076</v>
      </c>
      <c r="CR29" s="64">
        <f t="shared" si="24"/>
        <v>0.81513142055025267</v>
      </c>
      <c r="CS29" s="64">
        <f t="shared" si="24"/>
        <v>0.74902436458918209</v>
      </c>
      <c r="CT29" s="64">
        <f t="shared" si="24"/>
        <v>0.50376889013662729</v>
      </c>
      <c r="CU29" s="64">
        <f t="shared" si="25"/>
        <v>0.41892889013662732</v>
      </c>
      <c r="CV29" s="64">
        <f t="shared" si="25"/>
        <v>0.42741289013662731</v>
      </c>
      <c r="CW29" s="65">
        <f t="shared" si="49"/>
        <v>0.39734016765546792</v>
      </c>
      <c r="CX29" s="64">
        <f t="shared" si="50"/>
        <v>0.4358968901366273</v>
      </c>
      <c r="CY29" s="65">
        <f t="shared" si="51"/>
        <v>0.37575144517430847</v>
      </c>
      <c r="CZ29" s="64">
        <f t="shared" si="52"/>
        <v>0.45192222346996064</v>
      </c>
      <c r="DA29" s="65">
        <f t="shared" si="53"/>
        <v>0.33163133354532293</v>
      </c>
      <c r="DB29" s="64">
        <f t="shared" si="54"/>
        <v>0.46794755680329397</v>
      </c>
      <c r="DC29" s="65">
        <f t="shared" si="55"/>
        <v>0.28751122191633743</v>
      </c>
      <c r="DD29" s="64">
        <f t="shared" si="56"/>
        <v>0.48397289013662731</v>
      </c>
      <c r="DE29" s="65">
        <f t="shared" si="57"/>
        <v>0.24339111028735191</v>
      </c>
      <c r="DF29" s="64">
        <f t="shared" si="58"/>
        <v>0.49999822346996065</v>
      </c>
      <c r="DG29" s="65">
        <f t="shared" si="59"/>
        <v>0.19927099865836645</v>
      </c>
      <c r="DL29">
        <v>2039</v>
      </c>
      <c r="DM29" s="64">
        <f t="shared" si="60"/>
        <v>0.19927099865836645</v>
      </c>
      <c r="DN29" s="64">
        <f t="shared" si="61"/>
        <v>0.24339111028735191</v>
      </c>
      <c r="DO29" s="64">
        <f t="shared" si="62"/>
        <v>0.28751122191633743</v>
      </c>
      <c r="DP29" s="64">
        <f t="shared" si="63"/>
        <v>0.33163133354532293</v>
      </c>
      <c r="DQ29" s="64">
        <f t="shared" si="64"/>
        <v>0.37575144517430847</v>
      </c>
      <c r="DR29" s="64">
        <f t="shared" si="65"/>
        <v>0.39734016765546792</v>
      </c>
      <c r="DS29" s="64">
        <f t="shared" si="26"/>
        <v>0.41892889013662732</v>
      </c>
      <c r="DT29" s="64">
        <f t="shared" si="27"/>
        <v>0.50376889013662729</v>
      </c>
      <c r="DU29" s="64">
        <f t="shared" si="28"/>
        <v>0.74902436458918209</v>
      </c>
      <c r="DV29" s="64">
        <f t="shared" si="29"/>
        <v>0.81513142055025267</v>
      </c>
      <c r="DW29" s="64">
        <f t="shared" si="30"/>
        <v>0.84702923076923076</v>
      </c>
      <c r="DX29" s="64">
        <f t="shared" si="31"/>
        <v>0.91452923076923076</v>
      </c>
      <c r="DY29" s="64">
        <f t="shared" si="32"/>
        <v>0.92750999999999995</v>
      </c>
      <c r="DZ29" s="64">
        <f t="shared" si="33"/>
        <v>0.93175999999999992</v>
      </c>
      <c r="EA29" s="3">
        <f t="shared" si="66"/>
        <v>0.95</v>
      </c>
      <c r="EB29">
        <v>2039</v>
      </c>
      <c r="EC29" s="269">
        <f t="shared" si="67"/>
        <v>0.1992709986583665</v>
      </c>
      <c r="ED29" s="269">
        <f t="shared" si="68"/>
        <v>0.05</v>
      </c>
      <c r="EE29" s="64">
        <f t="shared" si="184"/>
        <v>4.4120111628985464E-2</v>
      </c>
      <c r="EF29" s="64">
        <f t="shared" si="184"/>
        <v>4.412011162898552E-2</v>
      </c>
      <c r="EG29" s="64">
        <f t="shared" si="184"/>
        <v>4.4120111628985492E-2</v>
      </c>
      <c r="EH29" s="64">
        <f t="shared" si="184"/>
        <v>4.4120111628985548E-2</v>
      </c>
      <c r="EI29" s="64">
        <f t="shared" si="184"/>
        <v>2.158872248115945E-2</v>
      </c>
      <c r="EJ29" s="64">
        <f t="shared" si="184"/>
        <v>2.1588722481159395E-2</v>
      </c>
      <c r="EK29" s="64">
        <f t="shared" si="184"/>
        <v>8.4839999999999971E-2</v>
      </c>
      <c r="EL29" s="64">
        <f t="shared" si="184"/>
        <v>0.2452554744525548</v>
      </c>
      <c r="EM29" s="64">
        <f t="shared" si="184"/>
        <v>6.6107055961070582E-2</v>
      </c>
      <c r="EN29" s="64">
        <f t="shared" si="184"/>
        <v>3.1897810218978084E-2</v>
      </c>
      <c r="EO29" s="64">
        <f t="shared" si="184"/>
        <v>6.7500000000000004E-2</v>
      </c>
      <c r="EP29" s="64">
        <f t="shared" si="184"/>
        <v>1.2980769230769185E-2</v>
      </c>
      <c r="EQ29" s="64">
        <f t="shared" si="184"/>
        <v>4.249999999999976E-3</v>
      </c>
      <c r="ER29" s="64">
        <f t="shared" si="184"/>
        <v>1.8240000000000034E-2</v>
      </c>
      <c r="EX29" s="89">
        <v>2039</v>
      </c>
      <c r="EY29" s="278">
        <f t="shared" si="69"/>
        <v>1.0133333333333332</v>
      </c>
      <c r="EZ29" s="278"/>
      <c r="FA29" s="278">
        <f t="shared" si="70"/>
        <v>0.21505816190672944</v>
      </c>
      <c r="FB29" s="278">
        <f t="shared" si="35"/>
        <v>0.05</v>
      </c>
      <c r="FC29" s="64">
        <f t="shared" si="71"/>
        <v>0.31977328238299513</v>
      </c>
      <c r="FD29" s="64">
        <f t="shared" si="72"/>
        <v>4.0094755555555609E-3</v>
      </c>
      <c r="FE29" s="64">
        <f t="shared" si="73"/>
        <v>0.26078832116788325</v>
      </c>
      <c r="FF29" s="64">
        <f t="shared" si="74"/>
        <v>7.0293836171938379E-2</v>
      </c>
      <c r="FG29" s="64">
        <f t="shared" si="75"/>
        <v>3.3918004866180025E-2</v>
      </c>
      <c r="FH29" s="64">
        <f t="shared" si="76"/>
        <v>7.1775000000000005E-2</v>
      </c>
      <c r="FI29" s="64">
        <f t="shared" si="77"/>
        <v>1.3802884615384566E-2</v>
      </c>
      <c r="FJ29" s="64">
        <f t="shared" si="78"/>
        <v>4.519166666666641E-3</v>
      </c>
      <c r="FK29" s="280">
        <f t="shared" si="79"/>
        <v>1.9395200000000036E-2</v>
      </c>
      <c r="FL29" s="64"/>
      <c r="FM29" s="89">
        <v>2039</v>
      </c>
      <c r="FN29" s="278">
        <f t="shared" si="80"/>
        <v>1.0133333333333332</v>
      </c>
      <c r="FP29" s="278">
        <f t="shared" si="81"/>
        <v>0.26197254727221742</v>
      </c>
      <c r="FQ29" s="278">
        <f t="shared" si="82"/>
        <v>0.05</v>
      </c>
      <c r="FR29" s="64">
        <f t="shared" si="83"/>
        <v>0.25581862590639615</v>
      </c>
      <c r="FS29" s="64">
        <f t="shared" si="84"/>
        <v>2.1049746666666667E-2</v>
      </c>
      <c r="FT29" s="64">
        <f t="shared" si="85"/>
        <v>0.26078832116788325</v>
      </c>
      <c r="FU29" s="64">
        <f t="shared" si="86"/>
        <v>7.0293836171938379E-2</v>
      </c>
      <c r="FV29" s="64">
        <f t="shared" si="87"/>
        <v>3.3918004866180025E-2</v>
      </c>
      <c r="FW29" s="64">
        <f t="shared" si="88"/>
        <v>7.1775000000000005E-2</v>
      </c>
      <c r="FX29" s="64">
        <f t="shared" si="89"/>
        <v>1.3802884615384566E-2</v>
      </c>
      <c r="FY29" s="64">
        <f t="shared" si="90"/>
        <v>4.519166666666641E-3</v>
      </c>
      <c r="FZ29" s="280">
        <f t="shared" si="91"/>
        <v>1.9395200000000036E-2</v>
      </c>
      <c r="GA29" s="64"/>
      <c r="GB29" s="89">
        <v>2039</v>
      </c>
      <c r="GC29" s="278">
        <f t="shared" si="92"/>
        <v>1.0133333333333332</v>
      </c>
      <c r="GE29" s="278">
        <f t="shared" si="93"/>
        <v>0.30888693263770539</v>
      </c>
      <c r="GF29" s="278">
        <f t="shared" si="94"/>
        <v>0.05</v>
      </c>
      <c r="GG29" s="64">
        <f t="shared" si="95"/>
        <v>0.19186396942979711</v>
      </c>
      <c r="GH29" s="64">
        <f t="shared" si="96"/>
        <v>3.809001777777777E-2</v>
      </c>
      <c r="GI29" s="64">
        <f t="shared" si="97"/>
        <v>0.26078832116788325</v>
      </c>
      <c r="GJ29" s="64">
        <f t="shared" si="98"/>
        <v>7.0293836171938379E-2</v>
      </c>
      <c r="GK29" s="64">
        <f t="shared" si="99"/>
        <v>3.3918004866180025E-2</v>
      </c>
      <c r="GL29" s="64">
        <f t="shared" si="100"/>
        <v>7.1775000000000005E-2</v>
      </c>
      <c r="GM29" s="64">
        <f t="shared" si="101"/>
        <v>1.3802884615384566E-2</v>
      </c>
      <c r="GN29" s="64">
        <f t="shared" si="102"/>
        <v>4.519166666666641E-3</v>
      </c>
      <c r="GO29" s="280">
        <f t="shared" si="103"/>
        <v>1.9395200000000036E-2</v>
      </c>
      <c r="GP29" s="64"/>
      <c r="GQ29" s="89">
        <v>2039</v>
      </c>
      <c r="GR29" s="278">
        <f t="shared" si="104"/>
        <v>1.0133333333333332</v>
      </c>
      <c r="GT29" s="278">
        <f t="shared" si="105"/>
        <v>0.35580131800319326</v>
      </c>
      <c r="GU29" s="278">
        <f t="shared" si="106"/>
        <v>0.05</v>
      </c>
      <c r="GV29" s="64">
        <f t="shared" si="107"/>
        <v>0.1279093129531981</v>
      </c>
      <c r="GW29" s="64">
        <f t="shared" si="108"/>
        <v>5.5130288888888879E-2</v>
      </c>
      <c r="GX29" s="64">
        <f t="shared" si="109"/>
        <v>0.26078832116788325</v>
      </c>
      <c r="GY29" s="64">
        <f t="shared" si="110"/>
        <v>7.0293836171938379E-2</v>
      </c>
      <c r="GZ29" s="64">
        <f t="shared" si="111"/>
        <v>3.3918004866180025E-2</v>
      </c>
      <c r="HA29" s="64">
        <f t="shared" si="112"/>
        <v>7.1775000000000005E-2</v>
      </c>
      <c r="HB29" s="64">
        <f t="shared" si="113"/>
        <v>1.3802884615384566E-2</v>
      </c>
      <c r="HC29" s="64">
        <f t="shared" si="114"/>
        <v>4.519166666666641E-3</v>
      </c>
      <c r="HD29" s="280">
        <f t="shared" si="115"/>
        <v>1.9395200000000036E-2</v>
      </c>
      <c r="HE29" s="64"/>
      <c r="HF29" s="89">
        <v>2039</v>
      </c>
      <c r="HG29" s="278">
        <f t="shared" si="116"/>
        <v>1.0133333333333332</v>
      </c>
      <c r="HI29" s="278">
        <f t="shared" si="117"/>
        <v>0.40271570336868123</v>
      </c>
      <c r="HJ29" s="278">
        <f t="shared" si="118"/>
        <v>0.05</v>
      </c>
      <c r="HK29" s="64">
        <f t="shared" si="119"/>
        <v>6.3954656476599037E-2</v>
      </c>
      <c r="HL29" s="64">
        <f t="shared" si="120"/>
        <v>7.2170559999999981E-2</v>
      </c>
      <c r="HM29" s="64">
        <f t="shared" si="121"/>
        <v>0.26078832116788325</v>
      </c>
      <c r="HN29" s="64">
        <f t="shared" si="122"/>
        <v>7.0293836171938379E-2</v>
      </c>
      <c r="HO29" s="64">
        <f t="shared" si="123"/>
        <v>3.3918004866180025E-2</v>
      </c>
      <c r="HP29" s="64">
        <f t="shared" si="124"/>
        <v>7.1775000000000005E-2</v>
      </c>
      <c r="HQ29" s="64">
        <f t="shared" si="125"/>
        <v>1.3802884615384566E-2</v>
      </c>
      <c r="HR29" s="64">
        <f t="shared" si="126"/>
        <v>4.519166666666641E-3</v>
      </c>
      <c r="HS29" s="280">
        <f t="shared" si="127"/>
        <v>1.9395200000000036E-2</v>
      </c>
      <c r="HT29" s="64"/>
      <c r="HU29" s="89">
        <v>2039</v>
      </c>
      <c r="HV29" s="278">
        <f t="shared" si="128"/>
        <v>1.0133333333333332</v>
      </c>
      <c r="HX29" s="278">
        <f t="shared" si="129"/>
        <v>0.42567171160698081</v>
      </c>
      <c r="HY29" s="278">
        <f t="shared" si="130"/>
        <v>0.05</v>
      </c>
      <c r="HZ29" s="64">
        <f t="shared" si="131"/>
        <v>3.1977328238299491E-2</v>
      </c>
      <c r="IA29" s="64">
        <f t="shared" si="132"/>
        <v>8.1191879999999966E-2</v>
      </c>
      <c r="IB29" s="64">
        <f t="shared" si="133"/>
        <v>0.26078832116788325</v>
      </c>
      <c r="IC29" s="64">
        <f t="shared" si="134"/>
        <v>7.0293836171938379E-2</v>
      </c>
      <c r="ID29" s="64">
        <f t="shared" si="135"/>
        <v>3.3918004866180025E-2</v>
      </c>
      <c r="IE29" s="64">
        <f t="shared" si="136"/>
        <v>7.1775000000000005E-2</v>
      </c>
      <c r="IF29" s="64">
        <f t="shared" si="137"/>
        <v>1.3802884615384566E-2</v>
      </c>
      <c r="IG29" s="64">
        <f t="shared" si="138"/>
        <v>4.519166666666641E-3</v>
      </c>
      <c r="IH29" s="280">
        <f t="shared" si="139"/>
        <v>1.9395200000000036E-2</v>
      </c>
      <c r="II29" s="64"/>
      <c r="IJ29" s="89">
        <v>2039</v>
      </c>
      <c r="IK29" s="278">
        <f t="shared" si="140"/>
        <v>1.0133333333333332</v>
      </c>
      <c r="IM29" s="278">
        <f t="shared" si="141"/>
        <v>0.44862771984528027</v>
      </c>
      <c r="IN29" s="278">
        <f t="shared" si="142"/>
        <v>0.05</v>
      </c>
      <c r="IO29" s="64">
        <v>0</v>
      </c>
      <c r="IP29" s="64">
        <f t="shared" si="143"/>
        <v>9.0213199999999966E-2</v>
      </c>
      <c r="IQ29" s="64">
        <f t="shared" si="144"/>
        <v>0.26078832116788325</v>
      </c>
      <c r="IR29" s="64">
        <f t="shared" si="145"/>
        <v>7.0293836171938379E-2</v>
      </c>
      <c r="IS29" s="64">
        <f t="shared" si="146"/>
        <v>3.3918004866180025E-2</v>
      </c>
      <c r="IT29" s="64">
        <f t="shared" si="147"/>
        <v>7.1775000000000005E-2</v>
      </c>
      <c r="IU29" s="64">
        <f t="shared" si="148"/>
        <v>1.3802884615384566E-2</v>
      </c>
      <c r="IV29" s="64">
        <f t="shared" si="149"/>
        <v>4.519166666666641E-3</v>
      </c>
      <c r="IW29" s="280">
        <f t="shared" si="150"/>
        <v>1.9395200000000036E-2</v>
      </c>
      <c r="IX29" s="3">
        <f t="shared" si="151"/>
        <v>0.29250000000000043</v>
      </c>
      <c r="IY29">
        <f t="shared" si="36"/>
        <v>2039</v>
      </c>
      <c r="IZ29" s="3">
        <f t="shared" si="152"/>
        <v>13.386090624561735</v>
      </c>
      <c r="JA29" s="353">
        <f>HLOOKUP($JG$3,'Timing calculations'!JH$8:JT$39,22,FALSE)</f>
        <v>12.601624476787419</v>
      </c>
      <c r="JB29" s="3">
        <f t="shared" si="153"/>
        <v>19.633333333333333</v>
      </c>
      <c r="JC29" s="353">
        <f t="shared" si="154"/>
        <v>20.666666666666668</v>
      </c>
      <c r="JD29" s="418">
        <f t="shared" si="37"/>
        <v>0.29249999999999998</v>
      </c>
      <c r="JE29" s="368">
        <f t="shared" si="155"/>
        <v>10.962499999999995</v>
      </c>
      <c r="JF29" s="369">
        <f t="shared" si="156"/>
        <v>11.539473684210522</v>
      </c>
      <c r="JG29" s="363">
        <f t="shared" si="157"/>
        <v>11.615688786711294</v>
      </c>
      <c r="JH29" s="362">
        <f t="shared" si="38"/>
        <v>12.227040828117152</v>
      </c>
      <c r="JI29" s="366">
        <f t="shared" si="39"/>
        <v>11.971543252948049</v>
      </c>
      <c r="JJ29" s="367">
        <f t="shared" si="9"/>
        <v>12.601624476787419</v>
      </c>
      <c r="JK29" s="363">
        <f t="shared" si="40"/>
        <v>12.327397719184802</v>
      </c>
      <c r="JL29" s="362">
        <f t="shared" si="41"/>
        <v>12.976208125457687</v>
      </c>
      <c r="JM29" s="366">
        <f t="shared" si="158"/>
        <v>12.68325218542156</v>
      </c>
      <c r="JN29" s="367">
        <f t="shared" si="42"/>
        <v>13.350791774127959</v>
      </c>
      <c r="JO29" s="363">
        <f t="shared" si="159"/>
        <v>13.039106651658313</v>
      </c>
      <c r="JP29" s="362">
        <f t="shared" si="43"/>
        <v>13.725375422798225</v>
      </c>
      <c r="JQ29" s="366">
        <f t="shared" si="160"/>
        <v>13.212598638110025</v>
      </c>
      <c r="JR29" s="367">
        <f t="shared" si="44"/>
        <v>13.907998566431607</v>
      </c>
      <c r="JS29" s="363">
        <f t="shared" si="161"/>
        <v>13.386090624561735</v>
      </c>
      <c r="JT29" s="362">
        <f t="shared" si="45"/>
        <v>14.090621710064985</v>
      </c>
    </row>
    <row r="30" spans="1:282">
      <c r="A30" s="259"/>
      <c r="B30" s="247"/>
      <c r="C30" s="247"/>
      <c r="D30" s="247"/>
      <c r="E30" s="293"/>
      <c r="F30" s="293"/>
      <c r="G30" s="293"/>
      <c r="H30" s="302"/>
      <c r="I30" s="293"/>
      <c r="J30" s="303"/>
      <c r="AO30" s="89">
        <v>2040</v>
      </c>
      <c r="AP30" s="170">
        <f t="shared" si="185"/>
        <v>-1.9200000000000002E-2</v>
      </c>
      <c r="AQ30" s="170">
        <f t="shared" si="185"/>
        <v>-4.5000000000000023E-3</v>
      </c>
      <c r="AR30" s="170">
        <f t="shared" si="185"/>
        <v>-1.3846153846153843E-2</v>
      </c>
      <c r="AS30" s="170">
        <f t="shared" si="185"/>
        <v>-6.7500000000000004E-2</v>
      </c>
      <c r="AU30" s="170">
        <f t="shared" si="186"/>
        <v>-3.3576642335766418E-2</v>
      </c>
      <c r="AV30" s="170">
        <f t="shared" si="186"/>
        <v>-6.9586374695863762E-2</v>
      </c>
      <c r="AW30" s="170">
        <f t="shared" si="186"/>
        <v>-0.24525547445255474</v>
      </c>
      <c r="AY30" s="170">
        <f t="shared" si="164"/>
        <v>-8.4839999999999971E-2</v>
      </c>
      <c r="AZ30" s="278">
        <f t="shared" si="165"/>
        <v>8.9830588235294082E-3</v>
      </c>
      <c r="BA30" s="284">
        <f t="shared" si="166"/>
        <v>-3.2473801043478238E-2</v>
      </c>
      <c r="BB30" s="276">
        <f t="shared" si="167"/>
        <v>-3.8794749913043457E-2</v>
      </c>
      <c r="BC30" s="277">
        <f t="shared" si="10"/>
        <v>-3.2473801043478238E-2</v>
      </c>
      <c r="BD30" s="278">
        <f t="shared" si="168"/>
        <v>8.9830588235294082E-3</v>
      </c>
      <c r="BE30" s="284">
        <f t="shared" si="169"/>
        <v>-3.247380104347828E-2</v>
      </c>
      <c r="BF30" s="276">
        <f t="shared" si="170"/>
        <v>-3.8794749913043457E-2</v>
      </c>
      <c r="BG30" s="277">
        <f t="shared" si="11"/>
        <v>-3.247380104347828E-2</v>
      </c>
      <c r="BH30" s="278">
        <f t="shared" si="171"/>
        <v>1.6967999999999997E-2</v>
      </c>
      <c r="BI30" s="284">
        <f t="shared" si="172"/>
        <v>-6.4947602086956546E-2</v>
      </c>
      <c r="BJ30" s="276">
        <f t="shared" si="173"/>
        <v>-7.7589499826087024E-2</v>
      </c>
      <c r="BK30" s="277">
        <f t="shared" si="12"/>
        <v>-6.4947602086956546E-2</v>
      </c>
      <c r="BL30" s="278">
        <f t="shared" si="174"/>
        <v>1.6967999999999997E-2</v>
      </c>
      <c r="BM30" s="284">
        <f t="shared" si="175"/>
        <v>-6.4947602086956505E-2</v>
      </c>
      <c r="BN30" s="276">
        <f t="shared" si="176"/>
        <v>-7.75894998260869E-2</v>
      </c>
      <c r="BO30" s="277">
        <f t="shared" si="13"/>
        <v>-6.4947602086956518E-2</v>
      </c>
      <c r="BP30" s="278">
        <f t="shared" si="177"/>
        <v>1.6967999999999997E-2</v>
      </c>
      <c r="BQ30" s="284">
        <f t="shared" si="178"/>
        <v>-6.494760208695656E-2</v>
      </c>
      <c r="BR30" s="276">
        <f t="shared" si="179"/>
        <v>-7.7589499826086955E-2</v>
      </c>
      <c r="BS30" s="277">
        <f t="shared" si="14"/>
        <v>-6.4947602086956532E-2</v>
      </c>
      <c r="BT30" s="278">
        <f t="shared" si="180"/>
        <v>1.6967999999999997E-2</v>
      </c>
      <c r="BU30" s="284">
        <f t="shared" si="181"/>
        <v>-6.4947602086956505E-2</v>
      </c>
      <c r="BV30" s="276">
        <f t="shared" si="182"/>
        <v>-7.7589499826086941E-2</v>
      </c>
      <c r="BW30" s="278">
        <f t="shared" si="15"/>
        <v>-6.4947602086956505E-2</v>
      </c>
      <c r="BX30" s="391">
        <f t="shared" si="46"/>
        <v>-1.5969882352941153E-2</v>
      </c>
      <c r="BY30" s="392">
        <f t="shared" si="47"/>
        <v>-0.25979040834782613</v>
      </c>
      <c r="BZ30" s="278"/>
      <c r="CB30" s="279">
        <f t="shared" si="183"/>
        <v>-0.53830464533033873</v>
      </c>
      <c r="CC30" s="64">
        <f t="shared" si="17"/>
        <v>-0.56179538755028746</v>
      </c>
      <c r="CD30" s="64">
        <f t="shared" si="18"/>
        <v>-0.58528612977023631</v>
      </c>
      <c r="CE30" s="64">
        <f t="shared" si="19"/>
        <v>-0.63326573185719282</v>
      </c>
      <c r="CF30" s="64">
        <f t="shared" si="20"/>
        <v>-0.68124533394414932</v>
      </c>
      <c r="CG30" s="64">
        <f t="shared" si="21"/>
        <v>-0.72922493603110583</v>
      </c>
      <c r="CH30" s="64">
        <f t="shared" si="22"/>
        <v>-0.77720453811806234</v>
      </c>
      <c r="CI30">
        <v>2040</v>
      </c>
      <c r="CJ30" s="240"/>
      <c r="CL30">
        <v>2040</v>
      </c>
      <c r="CM30" s="3">
        <f t="shared" si="48"/>
        <v>0.95</v>
      </c>
      <c r="CN30" s="64">
        <f t="shared" si="23"/>
        <v>0.93079999999999996</v>
      </c>
      <c r="CO30" s="64">
        <f t="shared" si="23"/>
        <v>0.92630000000000001</v>
      </c>
      <c r="CP30" s="64">
        <f t="shared" si="23"/>
        <v>0.91245384615384617</v>
      </c>
      <c r="CQ30" s="64">
        <f t="shared" si="23"/>
        <v>0.84495384615384617</v>
      </c>
      <c r="CR30" s="64">
        <f t="shared" si="24"/>
        <v>0.81137720381807976</v>
      </c>
      <c r="CS30" s="64">
        <f t="shared" si="24"/>
        <v>0.74179082912221594</v>
      </c>
      <c r="CT30" s="64">
        <f t="shared" si="24"/>
        <v>0.4965353546696612</v>
      </c>
      <c r="CU30" s="64">
        <f t="shared" si="25"/>
        <v>0.41169535466966123</v>
      </c>
      <c r="CV30" s="64">
        <f t="shared" si="25"/>
        <v>0.42067841349319063</v>
      </c>
      <c r="CW30" s="65">
        <f t="shared" si="49"/>
        <v>0.38820461244971238</v>
      </c>
      <c r="CX30" s="64">
        <f t="shared" si="50"/>
        <v>0.42966147231672003</v>
      </c>
      <c r="CY30" s="65">
        <f t="shared" si="51"/>
        <v>0.36471387022976348</v>
      </c>
      <c r="CZ30" s="64">
        <f t="shared" si="52"/>
        <v>0.44662947231672001</v>
      </c>
      <c r="DA30" s="65">
        <f t="shared" si="53"/>
        <v>0.31673426814280692</v>
      </c>
      <c r="DB30" s="64">
        <f t="shared" si="54"/>
        <v>0.46359747231671999</v>
      </c>
      <c r="DC30" s="65">
        <f t="shared" si="55"/>
        <v>0.26875466605585041</v>
      </c>
      <c r="DD30" s="64">
        <f t="shared" si="56"/>
        <v>0.48056547231671998</v>
      </c>
      <c r="DE30" s="65">
        <f t="shared" si="57"/>
        <v>0.22077506396889385</v>
      </c>
      <c r="DF30" s="64">
        <f t="shared" si="58"/>
        <v>0.49753347231671996</v>
      </c>
      <c r="DG30" s="65">
        <f t="shared" si="59"/>
        <v>0.17279546188193734</v>
      </c>
      <c r="DL30">
        <v>2040</v>
      </c>
      <c r="DM30" s="64">
        <f t="shared" si="60"/>
        <v>0.17279546188193734</v>
      </c>
      <c r="DN30" s="64">
        <f t="shared" si="61"/>
        <v>0.22077506396889385</v>
      </c>
      <c r="DO30" s="64">
        <f t="shared" si="62"/>
        <v>0.26875466605585041</v>
      </c>
      <c r="DP30" s="64">
        <f t="shared" si="63"/>
        <v>0.31673426814280692</v>
      </c>
      <c r="DQ30" s="64">
        <f t="shared" si="64"/>
        <v>0.36471387022976348</v>
      </c>
      <c r="DR30" s="64">
        <f t="shared" si="65"/>
        <v>0.38820461244971238</v>
      </c>
      <c r="DS30" s="64">
        <f t="shared" si="26"/>
        <v>0.41169535466966123</v>
      </c>
      <c r="DT30" s="64">
        <f t="shared" si="27"/>
        <v>0.4965353546696612</v>
      </c>
      <c r="DU30" s="64">
        <f t="shared" si="28"/>
        <v>0.74179082912221594</v>
      </c>
      <c r="DV30" s="64">
        <f t="shared" si="29"/>
        <v>0.81137720381807976</v>
      </c>
      <c r="DW30" s="64">
        <f t="shared" si="30"/>
        <v>0.84495384615384617</v>
      </c>
      <c r="DX30" s="64">
        <f t="shared" si="31"/>
        <v>0.91245384615384617</v>
      </c>
      <c r="DY30" s="64">
        <f t="shared" si="32"/>
        <v>0.92630000000000001</v>
      </c>
      <c r="DZ30" s="64">
        <f t="shared" si="33"/>
        <v>0.93079999999999996</v>
      </c>
      <c r="EA30" s="3">
        <f t="shared" si="66"/>
        <v>0.95</v>
      </c>
      <c r="EB30">
        <v>2040</v>
      </c>
      <c r="EC30" s="269">
        <f t="shared" si="67"/>
        <v>0.1727954618819374</v>
      </c>
      <c r="ED30" s="269">
        <f t="shared" si="68"/>
        <v>0.05</v>
      </c>
      <c r="EE30" s="64">
        <f t="shared" si="184"/>
        <v>4.7979602086956508E-2</v>
      </c>
      <c r="EF30" s="64">
        <f t="shared" si="184"/>
        <v>4.7979602086956563E-2</v>
      </c>
      <c r="EG30" s="64">
        <f t="shared" si="184"/>
        <v>4.7979602086956508E-2</v>
      </c>
      <c r="EH30" s="64">
        <f t="shared" si="184"/>
        <v>4.7979602086956563E-2</v>
      </c>
      <c r="EI30" s="64">
        <f t="shared" si="184"/>
        <v>2.3490742219948901E-2</v>
      </c>
      <c r="EJ30" s="64">
        <f t="shared" si="184"/>
        <v>2.3490742219948846E-2</v>
      </c>
      <c r="EK30" s="64">
        <f t="shared" si="184"/>
        <v>8.4839999999999971E-2</v>
      </c>
      <c r="EL30" s="64">
        <f t="shared" si="184"/>
        <v>0.24525547445255474</v>
      </c>
      <c r="EM30" s="64">
        <f t="shared" si="184"/>
        <v>6.9586374695863817E-2</v>
      </c>
      <c r="EN30" s="64">
        <f t="shared" si="184"/>
        <v>3.3576642335766405E-2</v>
      </c>
      <c r="EO30" s="64">
        <f t="shared" si="184"/>
        <v>6.7500000000000004E-2</v>
      </c>
      <c r="EP30" s="64">
        <f t="shared" si="184"/>
        <v>1.3846153846153841E-2</v>
      </c>
      <c r="EQ30" s="64">
        <f t="shared" si="184"/>
        <v>4.4999999999999485E-3</v>
      </c>
      <c r="ER30" s="64">
        <f t="shared" si="184"/>
        <v>1.9199999999999995E-2</v>
      </c>
      <c r="EX30" s="89">
        <v>2040</v>
      </c>
      <c r="EY30" s="278">
        <f t="shared" si="69"/>
        <v>1.0166666666666666</v>
      </c>
      <c r="EZ30" s="278"/>
      <c r="FA30" s="278">
        <f t="shared" si="70"/>
        <v>0.18764849267406669</v>
      </c>
      <c r="FB30" s="278">
        <f t="shared" si="35"/>
        <v>0.05</v>
      </c>
      <c r="FC30" s="64">
        <f t="shared" si="71"/>
        <v>0.3463872111304348</v>
      </c>
      <c r="FD30" s="64">
        <f t="shared" si="72"/>
        <v>-1.0646588235294332E-3</v>
      </c>
      <c r="FE30" s="64">
        <f t="shared" si="73"/>
        <v>0.26160583941605842</v>
      </c>
      <c r="FF30" s="64">
        <f t="shared" si="74"/>
        <v>7.4225466342254742E-2</v>
      </c>
      <c r="FG30" s="64">
        <f t="shared" si="75"/>
        <v>3.5815085158150829E-2</v>
      </c>
      <c r="FH30" s="64">
        <f t="shared" si="76"/>
        <v>7.2000000000000008E-2</v>
      </c>
      <c r="FI30" s="64">
        <f t="shared" si="77"/>
        <v>1.4769230769230764E-2</v>
      </c>
      <c r="FJ30" s="64">
        <f t="shared" si="78"/>
        <v>4.7999999999999449E-3</v>
      </c>
      <c r="FK30" s="280">
        <f t="shared" si="79"/>
        <v>2.0479999999999995E-2</v>
      </c>
      <c r="FL30" s="64"/>
      <c r="FM30" s="89">
        <v>2040</v>
      </c>
      <c r="FN30" s="278">
        <f t="shared" si="80"/>
        <v>1.0166666666666666</v>
      </c>
      <c r="FP30" s="278">
        <f t="shared" si="81"/>
        <v>0.2388267349001536</v>
      </c>
      <c r="FQ30" s="278">
        <f t="shared" si="82"/>
        <v>0.05</v>
      </c>
      <c r="FR30" s="64">
        <f t="shared" si="83"/>
        <v>0.27710976890434785</v>
      </c>
      <c r="FS30" s="64">
        <f t="shared" si="84"/>
        <v>1.7034541176470564E-2</v>
      </c>
      <c r="FT30" s="64">
        <f t="shared" si="85"/>
        <v>0.26160583941605842</v>
      </c>
      <c r="FU30" s="64">
        <f t="shared" si="86"/>
        <v>7.4225466342254742E-2</v>
      </c>
      <c r="FV30" s="64">
        <f t="shared" si="87"/>
        <v>3.5815085158150829E-2</v>
      </c>
      <c r="FW30" s="64">
        <f t="shared" si="88"/>
        <v>7.2000000000000008E-2</v>
      </c>
      <c r="FX30" s="64">
        <f t="shared" si="89"/>
        <v>1.4769230769230764E-2</v>
      </c>
      <c r="FY30" s="64">
        <f t="shared" si="90"/>
        <v>4.7999999999999449E-3</v>
      </c>
      <c r="FZ30" s="280">
        <f t="shared" si="91"/>
        <v>2.0479999999999995E-2</v>
      </c>
      <c r="GA30" s="64"/>
      <c r="GB30" s="89">
        <v>2040</v>
      </c>
      <c r="GC30" s="278">
        <f t="shared" si="92"/>
        <v>1.0166666666666666</v>
      </c>
      <c r="GE30" s="278">
        <f t="shared" si="93"/>
        <v>0.29000497712624074</v>
      </c>
      <c r="GF30" s="278">
        <f t="shared" si="94"/>
        <v>0.05</v>
      </c>
      <c r="GG30" s="64">
        <f t="shared" si="95"/>
        <v>0.20783232667826088</v>
      </c>
      <c r="GH30" s="64">
        <f t="shared" si="96"/>
        <v>3.5133741176470556E-2</v>
      </c>
      <c r="GI30" s="64">
        <f t="shared" si="97"/>
        <v>0.26160583941605842</v>
      </c>
      <c r="GJ30" s="64">
        <f t="shared" si="98"/>
        <v>7.4225466342254742E-2</v>
      </c>
      <c r="GK30" s="64">
        <f t="shared" si="99"/>
        <v>3.5815085158150829E-2</v>
      </c>
      <c r="GL30" s="64">
        <f t="shared" si="100"/>
        <v>7.2000000000000008E-2</v>
      </c>
      <c r="GM30" s="64">
        <f t="shared" si="101"/>
        <v>1.4769230769230764E-2</v>
      </c>
      <c r="GN30" s="64">
        <f t="shared" si="102"/>
        <v>4.7999999999999449E-3</v>
      </c>
      <c r="GO30" s="280">
        <f t="shared" si="103"/>
        <v>2.0479999999999995E-2</v>
      </c>
      <c r="GP30" s="64"/>
      <c r="GQ30" s="89">
        <v>2040</v>
      </c>
      <c r="GR30" s="278">
        <f t="shared" si="104"/>
        <v>1.0166666666666666</v>
      </c>
      <c r="GT30" s="278">
        <f t="shared" si="105"/>
        <v>0.34118321935232765</v>
      </c>
      <c r="GU30" s="278">
        <f t="shared" si="106"/>
        <v>0.05</v>
      </c>
      <c r="GV30" s="64">
        <f t="shared" si="107"/>
        <v>0.13855488445217393</v>
      </c>
      <c r="GW30" s="64">
        <f t="shared" si="108"/>
        <v>5.3232941176470559E-2</v>
      </c>
      <c r="GX30" s="64">
        <f t="shared" si="109"/>
        <v>0.26160583941605842</v>
      </c>
      <c r="GY30" s="64">
        <f t="shared" si="110"/>
        <v>7.4225466342254742E-2</v>
      </c>
      <c r="GZ30" s="64">
        <f t="shared" si="111"/>
        <v>3.5815085158150829E-2</v>
      </c>
      <c r="HA30" s="64">
        <f t="shared" si="112"/>
        <v>7.2000000000000008E-2</v>
      </c>
      <c r="HB30" s="64">
        <f t="shared" si="113"/>
        <v>1.4769230769230764E-2</v>
      </c>
      <c r="HC30" s="64">
        <f t="shared" si="114"/>
        <v>4.7999999999999449E-3</v>
      </c>
      <c r="HD30" s="280">
        <f t="shared" si="115"/>
        <v>2.0479999999999995E-2</v>
      </c>
      <c r="HE30" s="64"/>
      <c r="HF30" s="89">
        <v>2040</v>
      </c>
      <c r="HG30" s="278">
        <f t="shared" si="116"/>
        <v>1.0166666666666666</v>
      </c>
      <c r="HI30" s="278">
        <f t="shared" si="117"/>
        <v>0.39236146157841456</v>
      </c>
      <c r="HJ30" s="278">
        <f t="shared" si="118"/>
        <v>0.05</v>
      </c>
      <c r="HK30" s="64">
        <f t="shared" si="119"/>
        <v>6.9277442226086949E-2</v>
      </c>
      <c r="HL30" s="64">
        <f t="shared" si="120"/>
        <v>7.1332141176470548E-2</v>
      </c>
      <c r="HM30" s="64">
        <f t="shared" si="121"/>
        <v>0.26160583941605842</v>
      </c>
      <c r="HN30" s="64">
        <f t="shared" si="122"/>
        <v>7.4225466342254742E-2</v>
      </c>
      <c r="HO30" s="64">
        <f t="shared" si="123"/>
        <v>3.5815085158150829E-2</v>
      </c>
      <c r="HP30" s="64">
        <f t="shared" si="124"/>
        <v>7.2000000000000008E-2</v>
      </c>
      <c r="HQ30" s="64">
        <f t="shared" si="125"/>
        <v>1.4769230769230764E-2</v>
      </c>
      <c r="HR30" s="64">
        <f t="shared" si="126"/>
        <v>4.7999999999999449E-3</v>
      </c>
      <c r="HS30" s="280">
        <f t="shared" si="127"/>
        <v>2.0479999999999995E-2</v>
      </c>
      <c r="HT30" s="64"/>
      <c r="HU30" s="89">
        <v>2040</v>
      </c>
      <c r="HV30" s="278">
        <f t="shared" si="128"/>
        <v>1.0166666666666666</v>
      </c>
      <c r="HX30" s="278">
        <f t="shared" si="129"/>
        <v>0.41741825327969329</v>
      </c>
      <c r="HY30" s="278">
        <f t="shared" si="130"/>
        <v>0.05</v>
      </c>
      <c r="HZ30" s="64">
        <f t="shared" si="131"/>
        <v>3.4638721113043454E-2</v>
      </c>
      <c r="IA30" s="64">
        <f t="shared" si="132"/>
        <v>8.0914070588235257E-2</v>
      </c>
      <c r="IB30" s="64">
        <f t="shared" si="133"/>
        <v>0.26160583941605842</v>
      </c>
      <c r="IC30" s="64">
        <f t="shared" si="134"/>
        <v>7.4225466342254742E-2</v>
      </c>
      <c r="ID30" s="64">
        <f t="shared" si="135"/>
        <v>3.5815085158150829E-2</v>
      </c>
      <c r="IE30" s="64">
        <f t="shared" si="136"/>
        <v>7.2000000000000008E-2</v>
      </c>
      <c r="IF30" s="64">
        <f t="shared" si="137"/>
        <v>1.4769230769230764E-2</v>
      </c>
      <c r="IG30" s="64">
        <f t="shared" si="138"/>
        <v>4.7999999999999449E-3</v>
      </c>
      <c r="IH30" s="280">
        <f t="shared" si="139"/>
        <v>2.0479999999999995E-2</v>
      </c>
      <c r="II30" s="64"/>
      <c r="IJ30" s="89">
        <v>2040</v>
      </c>
      <c r="IK30" s="278">
        <f t="shared" si="140"/>
        <v>1.0166666666666666</v>
      </c>
      <c r="IM30" s="278">
        <f t="shared" si="141"/>
        <v>0.44247504498097201</v>
      </c>
      <c r="IN30" s="278">
        <f t="shared" si="142"/>
        <v>0.05</v>
      </c>
      <c r="IO30" s="64">
        <v>0</v>
      </c>
      <c r="IP30" s="64">
        <f t="shared" si="143"/>
        <v>9.0495999999999965E-2</v>
      </c>
      <c r="IQ30" s="64">
        <f t="shared" si="144"/>
        <v>0.26160583941605842</v>
      </c>
      <c r="IR30" s="64">
        <f t="shared" si="145"/>
        <v>7.4225466342254742E-2</v>
      </c>
      <c r="IS30" s="64">
        <f t="shared" si="146"/>
        <v>3.5815085158150829E-2</v>
      </c>
      <c r="IT30" s="64">
        <f t="shared" si="147"/>
        <v>7.2000000000000008E-2</v>
      </c>
      <c r="IU30" s="64">
        <f t="shared" si="148"/>
        <v>1.4769230769230764E-2</v>
      </c>
      <c r="IV30" s="64">
        <f t="shared" si="149"/>
        <v>4.7999999999999449E-3</v>
      </c>
      <c r="IW30" s="280">
        <f t="shared" si="150"/>
        <v>2.0479999999999995E-2</v>
      </c>
      <c r="IX30" s="3">
        <f t="shared" si="151"/>
        <v>0.27500000000000036</v>
      </c>
      <c r="IY30">
        <f t="shared" si="36"/>
        <v>2040</v>
      </c>
      <c r="IZ30" s="3">
        <f t="shared" si="152"/>
        <v>13.828565669542707</v>
      </c>
      <c r="JA30" s="353">
        <f>HLOOKUP($JG$3,'Timing calculations'!JH$8:JT$39,23,FALSE)</f>
        <v>12.853021039840215</v>
      </c>
      <c r="JB30" s="3">
        <f t="shared" si="153"/>
        <v>20.65</v>
      </c>
      <c r="JC30" s="353">
        <f t="shared" si="154"/>
        <v>21.736842105263158</v>
      </c>
      <c r="JD30" s="418">
        <f t="shared" si="37"/>
        <v>0.27500000000000002</v>
      </c>
      <c r="JE30" s="368">
        <f t="shared" si="155"/>
        <v>11.237499999999995</v>
      </c>
      <c r="JF30" s="369">
        <f t="shared" si="156"/>
        <v>11.828947368421048</v>
      </c>
      <c r="JG30" s="363">
        <f t="shared" si="157"/>
        <v>11.80333727938536</v>
      </c>
      <c r="JH30" s="362">
        <f t="shared" si="38"/>
        <v>12.424565557247748</v>
      </c>
      <c r="JI30" s="366">
        <f t="shared" si="39"/>
        <v>12.210369987848203</v>
      </c>
      <c r="JJ30" s="367">
        <f t="shared" si="9"/>
        <v>12.853021039840215</v>
      </c>
      <c r="JK30" s="363">
        <f t="shared" si="40"/>
        <v>12.617402696311043</v>
      </c>
      <c r="JL30" s="362">
        <f t="shared" si="41"/>
        <v>13.281476522432678</v>
      </c>
      <c r="JM30" s="366">
        <f t="shared" si="158"/>
        <v>13.024435404773888</v>
      </c>
      <c r="JN30" s="367">
        <f t="shared" si="42"/>
        <v>13.709932005025145</v>
      </c>
      <c r="JO30" s="363">
        <f t="shared" si="159"/>
        <v>13.431468113236727</v>
      </c>
      <c r="JP30" s="362">
        <f t="shared" si="43"/>
        <v>14.138387487617608</v>
      </c>
      <c r="JQ30" s="366">
        <f t="shared" si="160"/>
        <v>13.630016891389719</v>
      </c>
      <c r="JR30" s="367">
        <f t="shared" si="44"/>
        <v>14.347386201462863</v>
      </c>
      <c r="JS30" s="363">
        <f t="shared" si="161"/>
        <v>13.828565669542707</v>
      </c>
      <c r="JT30" s="362">
        <f t="shared" si="45"/>
        <v>14.556384915308113</v>
      </c>
    </row>
    <row r="31" spans="1:282">
      <c r="A31" s="259">
        <f>'1 StrategyMix for CarbonTargets'!V29</f>
        <v>0.2</v>
      </c>
      <c r="B31" s="247"/>
      <c r="C31" s="247"/>
      <c r="D31" s="247"/>
      <c r="E31" s="294"/>
      <c r="F31" s="294"/>
      <c r="G31" s="294" t="s">
        <v>93</v>
      </c>
      <c r="H31" s="302" cm="1">
        <f t="array" ref="H31">INDEX('SHIFT_from car driver'!AI10:AI54,MATCH(1,(A9='SHIFT_from car driver'!A10:A54)*(A31='SHIFT_from car driver'!B10:B54),0))</f>
        <v>1.0442349528643945E-2</v>
      </c>
      <c r="I31" s="304" cm="1">
        <f t="array" ref="I31">INDEX('SHIFT_from car driver'!AE10:AE54,MATCH(1,(A9='SHIFT_from car driver'!A10:A54)*(A31='SHIFT_from car driver'!B10:B54),0))</f>
        <v>2.3629590207557213E-2</v>
      </c>
      <c r="J31" s="305" cm="1">
        <f t="array" ref="J31">INDEX('SHIFT_from car driver'!AA10:AA54,MATCH(1,(A9='SHIFT_from car driver'!A10:A54)*(A31='SHIFT_from car driver'!B10:B54),0))</f>
        <v>5.0364963503649648E-2</v>
      </c>
      <c r="K31" s="64"/>
      <c r="AO31" s="89">
        <v>2041</v>
      </c>
      <c r="AP31" s="170">
        <f t="shared" si="185"/>
        <v>-2.0160000000000001E-2</v>
      </c>
      <c r="AQ31" s="170">
        <f t="shared" si="185"/>
        <v>-4.7500000000000025E-3</v>
      </c>
      <c r="AR31" s="170">
        <f t="shared" si="185"/>
        <v>-1.4711538461538458E-2</v>
      </c>
      <c r="AS31" s="170">
        <f t="shared" si="185"/>
        <v>-6.7500000000000004E-2</v>
      </c>
      <c r="AU31" s="170">
        <f t="shared" si="186"/>
        <v>-3.5255474452554739E-2</v>
      </c>
      <c r="AV31" s="170">
        <f t="shared" si="186"/>
        <v>-7.3065693430656956E-2</v>
      </c>
      <c r="AW31" s="170">
        <f t="shared" si="186"/>
        <v>-0.24525547445255474</v>
      </c>
      <c r="AY31" s="170">
        <f t="shared" si="164"/>
        <v>-8.4839999999999971E-2</v>
      </c>
      <c r="AZ31" s="278">
        <f t="shared" si="165"/>
        <v>8.4839999999999968E-3</v>
      </c>
      <c r="BA31" s="284">
        <f t="shared" si="166"/>
        <v>-3.310589593043476E-2</v>
      </c>
      <c r="BB31" s="276">
        <f t="shared" si="167"/>
        <v>-3.8794749913043457E-2</v>
      </c>
      <c r="BC31" s="277">
        <f t="shared" si="10"/>
        <v>-3.310589593043476E-2</v>
      </c>
      <c r="BD31" s="278">
        <f t="shared" si="168"/>
        <v>8.4839999999999968E-3</v>
      </c>
      <c r="BE31" s="284">
        <f t="shared" si="169"/>
        <v>-3.3105895930434802E-2</v>
      </c>
      <c r="BF31" s="276">
        <f t="shared" si="170"/>
        <v>-3.8794749913043457E-2</v>
      </c>
      <c r="BG31" s="277">
        <f t="shared" si="11"/>
        <v>-3.3105895930434802E-2</v>
      </c>
      <c r="BH31" s="278">
        <f t="shared" si="171"/>
        <v>1.6967999999999994E-2</v>
      </c>
      <c r="BI31" s="284">
        <f t="shared" si="172"/>
        <v>-6.621179186086959E-2</v>
      </c>
      <c r="BJ31" s="276">
        <f t="shared" si="173"/>
        <v>-7.7589499826087024E-2</v>
      </c>
      <c r="BK31" s="277">
        <f t="shared" si="12"/>
        <v>-6.621179186086959E-2</v>
      </c>
      <c r="BL31" s="278">
        <f t="shared" si="174"/>
        <v>1.6967999999999994E-2</v>
      </c>
      <c r="BM31" s="284">
        <f t="shared" si="175"/>
        <v>-6.6211791860869548E-2</v>
      </c>
      <c r="BN31" s="276">
        <f t="shared" si="176"/>
        <v>-7.7589499826086886E-2</v>
      </c>
      <c r="BO31" s="277">
        <f t="shared" si="13"/>
        <v>-6.6211791860869548E-2</v>
      </c>
      <c r="BP31" s="278">
        <f t="shared" si="177"/>
        <v>1.6967999999999994E-2</v>
      </c>
      <c r="BQ31" s="284">
        <f t="shared" si="178"/>
        <v>-6.6211791860869604E-2</v>
      </c>
      <c r="BR31" s="276">
        <f t="shared" si="179"/>
        <v>-7.7589499826086997E-2</v>
      </c>
      <c r="BS31" s="277">
        <f t="shared" si="14"/>
        <v>-6.6211791860869604E-2</v>
      </c>
      <c r="BT31" s="278">
        <f t="shared" si="180"/>
        <v>1.6967999999999994E-2</v>
      </c>
      <c r="BU31" s="284">
        <f t="shared" si="181"/>
        <v>-6.6211791860869548E-2</v>
      </c>
      <c r="BV31" s="276">
        <f t="shared" si="182"/>
        <v>-7.7589499826086941E-2</v>
      </c>
      <c r="BW31" s="278">
        <f t="shared" si="15"/>
        <v>-6.6211791860869548E-2</v>
      </c>
      <c r="BX31" s="391">
        <f t="shared" si="46"/>
        <v>-1.6968E-2</v>
      </c>
      <c r="BY31" s="392">
        <f t="shared" si="47"/>
        <v>-0.2648471674434783</v>
      </c>
      <c r="BZ31" s="278"/>
      <c r="CB31" s="279">
        <f t="shared" si="183"/>
        <v>-0.54553818079730487</v>
      </c>
      <c r="CC31" s="64">
        <f t="shared" si="17"/>
        <v>-0.57016007672773961</v>
      </c>
      <c r="CD31" s="64">
        <f t="shared" si="18"/>
        <v>-0.59478197265817434</v>
      </c>
      <c r="CE31" s="64">
        <f t="shared" si="19"/>
        <v>-0.64402576451904392</v>
      </c>
      <c r="CF31" s="64">
        <f t="shared" si="20"/>
        <v>-0.6932695563799135</v>
      </c>
      <c r="CG31" s="64">
        <f t="shared" si="21"/>
        <v>-0.74251334824078308</v>
      </c>
      <c r="CH31" s="64">
        <f t="shared" si="22"/>
        <v>-0.79175714010165266</v>
      </c>
      <c r="CI31">
        <v>2041</v>
      </c>
      <c r="CJ31" s="240"/>
      <c r="CL31">
        <v>2041</v>
      </c>
      <c r="CM31" s="3">
        <f t="shared" si="48"/>
        <v>0.95</v>
      </c>
      <c r="CN31" s="64">
        <f t="shared" si="23"/>
        <v>0.92984</v>
      </c>
      <c r="CO31" s="64">
        <f t="shared" si="23"/>
        <v>0.92508999999999997</v>
      </c>
      <c r="CP31" s="64">
        <f t="shared" si="23"/>
        <v>0.91037846153846147</v>
      </c>
      <c r="CQ31" s="64">
        <f t="shared" si="23"/>
        <v>0.84287846153846147</v>
      </c>
      <c r="CR31" s="64">
        <f t="shared" si="24"/>
        <v>0.80762298708590674</v>
      </c>
      <c r="CS31" s="64">
        <f t="shared" si="24"/>
        <v>0.7345572936552498</v>
      </c>
      <c r="CT31" s="64">
        <f t="shared" si="24"/>
        <v>0.48930181920269505</v>
      </c>
      <c r="CU31" s="64">
        <f t="shared" si="25"/>
        <v>0.40446181920269508</v>
      </c>
      <c r="CV31" s="64">
        <f t="shared" si="25"/>
        <v>0.41294581920269507</v>
      </c>
      <c r="CW31" s="65">
        <f t="shared" si="49"/>
        <v>0.37983992327226029</v>
      </c>
      <c r="CX31" s="64">
        <f t="shared" si="50"/>
        <v>0.42142981920269507</v>
      </c>
      <c r="CY31" s="65">
        <f t="shared" si="51"/>
        <v>0.3552180273418255</v>
      </c>
      <c r="CZ31" s="64">
        <f t="shared" si="52"/>
        <v>0.43839781920269505</v>
      </c>
      <c r="DA31" s="65">
        <f t="shared" si="53"/>
        <v>0.30597423548095593</v>
      </c>
      <c r="DB31" s="64">
        <f t="shared" si="54"/>
        <v>0.45536581920269503</v>
      </c>
      <c r="DC31" s="65">
        <f t="shared" si="55"/>
        <v>0.25673044362008635</v>
      </c>
      <c r="DD31" s="64">
        <f t="shared" si="56"/>
        <v>0.47233381920269502</v>
      </c>
      <c r="DE31" s="65">
        <f t="shared" si="57"/>
        <v>0.20748665175921671</v>
      </c>
      <c r="DF31" s="64">
        <f t="shared" si="58"/>
        <v>0.489301819202695</v>
      </c>
      <c r="DG31" s="65">
        <f t="shared" si="59"/>
        <v>0.15824285989834713</v>
      </c>
      <c r="DL31">
        <v>2041</v>
      </c>
      <c r="DM31" s="64">
        <f t="shared" si="60"/>
        <v>0.15824285989834713</v>
      </c>
      <c r="DN31" s="64">
        <f t="shared" si="61"/>
        <v>0.20748665175921671</v>
      </c>
      <c r="DO31" s="64">
        <f t="shared" si="62"/>
        <v>0.25673044362008635</v>
      </c>
      <c r="DP31" s="64">
        <f t="shared" si="63"/>
        <v>0.30597423548095593</v>
      </c>
      <c r="DQ31" s="64">
        <f t="shared" si="64"/>
        <v>0.3552180273418255</v>
      </c>
      <c r="DR31" s="64">
        <f t="shared" si="65"/>
        <v>0.37983992327226029</v>
      </c>
      <c r="DS31" s="64">
        <f t="shared" si="26"/>
        <v>0.40446181920269508</v>
      </c>
      <c r="DT31" s="64">
        <f t="shared" si="27"/>
        <v>0.48930181920269505</v>
      </c>
      <c r="DU31" s="64">
        <f t="shared" si="28"/>
        <v>0.7345572936552498</v>
      </c>
      <c r="DV31" s="64">
        <f t="shared" si="29"/>
        <v>0.80762298708590674</v>
      </c>
      <c r="DW31" s="64">
        <f t="shared" si="30"/>
        <v>0.84287846153846147</v>
      </c>
      <c r="DX31" s="64">
        <f t="shared" si="31"/>
        <v>0.91037846153846147</v>
      </c>
      <c r="DY31" s="64">
        <f t="shared" si="32"/>
        <v>0.92508999999999997</v>
      </c>
      <c r="DZ31" s="64">
        <f t="shared" si="33"/>
        <v>0.92984</v>
      </c>
      <c r="EA31" s="3">
        <f t="shared" si="66"/>
        <v>0.95</v>
      </c>
      <c r="EB31">
        <v>2041</v>
      </c>
      <c r="EC31" s="269">
        <f t="shared" si="67"/>
        <v>0.15824285989834719</v>
      </c>
      <c r="ED31" s="269">
        <f t="shared" si="68"/>
        <v>0.05</v>
      </c>
      <c r="EE31" s="64">
        <f t="shared" si="184"/>
        <v>4.9243791860869579E-2</v>
      </c>
      <c r="EF31" s="64">
        <f t="shared" si="184"/>
        <v>4.9243791860869635E-2</v>
      </c>
      <c r="EG31" s="64">
        <f t="shared" si="184"/>
        <v>4.9243791860869579E-2</v>
      </c>
      <c r="EH31" s="64">
        <f t="shared" si="184"/>
        <v>4.9243791860869579E-2</v>
      </c>
      <c r="EI31" s="64">
        <f t="shared" si="184"/>
        <v>2.462189593043479E-2</v>
      </c>
      <c r="EJ31" s="64">
        <f t="shared" si="184"/>
        <v>2.462189593043479E-2</v>
      </c>
      <c r="EK31" s="64">
        <f t="shared" si="184"/>
        <v>8.4839999999999971E-2</v>
      </c>
      <c r="EL31" s="64">
        <f t="shared" si="184"/>
        <v>0.24525547445255474</v>
      </c>
      <c r="EM31" s="64">
        <f t="shared" si="184"/>
        <v>7.3065693430656942E-2</v>
      </c>
      <c r="EN31" s="64">
        <f t="shared" si="184"/>
        <v>3.5255474452554725E-2</v>
      </c>
      <c r="EO31" s="64">
        <f t="shared" si="184"/>
        <v>6.7500000000000004E-2</v>
      </c>
      <c r="EP31" s="64">
        <f t="shared" si="184"/>
        <v>1.4711538461538498E-2</v>
      </c>
      <c r="EQ31" s="64">
        <f t="shared" si="184"/>
        <v>4.750000000000032E-3</v>
      </c>
      <c r="ER31" s="64">
        <f t="shared" si="184"/>
        <v>2.0159999999999956E-2</v>
      </c>
      <c r="EX31" s="89">
        <v>2041</v>
      </c>
      <c r="EY31" s="278">
        <f t="shared" si="69"/>
        <v>1.02</v>
      </c>
      <c r="EZ31" s="278"/>
      <c r="FA31" s="278">
        <f t="shared" si="70"/>
        <v>0.17281986009123174</v>
      </c>
      <c r="FB31" s="278">
        <f t="shared" si="35"/>
        <v>0.05</v>
      </c>
      <c r="FC31" s="64">
        <f t="shared" si="71"/>
        <v>0.35423308645565221</v>
      </c>
      <c r="FD31" s="64">
        <f t="shared" si="72"/>
        <v>7.4246164771807348E-18</v>
      </c>
      <c r="FE31" s="64">
        <f t="shared" si="73"/>
        <v>0.26242335766423358</v>
      </c>
      <c r="FF31" s="64">
        <f t="shared" si="74"/>
        <v>7.8180291970802937E-2</v>
      </c>
      <c r="FG31" s="64">
        <f t="shared" si="75"/>
        <v>3.7723357664233556E-2</v>
      </c>
      <c r="FH31" s="64">
        <f t="shared" si="76"/>
        <v>7.2225000000000011E-2</v>
      </c>
      <c r="FI31" s="64">
        <f t="shared" si="77"/>
        <v>1.5741346153846193E-2</v>
      </c>
      <c r="FJ31" s="64">
        <f t="shared" si="78"/>
        <v>5.0825000000000349E-3</v>
      </c>
      <c r="FK31" s="280">
        <f t="shared" si="79"/>
        <v>2.1571199999999954E-2</v>
      </c>
      <c r="FL31" s="64"/>
      <c r="FM31" s="89">
        <v>2041</v>
      </c>
      <c r="FN31" s="278">
        <f t="shared" si="80"/>
        <v>1.02</v>
      </c>
      <c r="FP31" s="278">
        <f t="shared" si="81"/>
        <v>0.22551071738236217</v>
      </c>
      <c r="FQ31" s="278">
        <f t="shared" si="82"/>
        <v>0.05</v>
      </c>
      <c r="FR31" s="64">
        <f t="shared" si="83"/>
        <v>0.28338646916452181</v>
      </c>
      <c r="FS31" s="64">
        <f t="shared" si="84"/>
        <v>1.815576E-2</v>
      </c>
      <c r="FT31" s="64">
        <f t="shared" si="85"/>
        <v>0.26242335766423358</v>
      </c>
      <c r="FU31" s="64">
        <f t="shared" si="86"/>
        <v>7.8180291970802937E-2</v>
      </c>
      <c r="FV31" s="64">
        <f t="shared" si="87"/>
        <v>3.7723357664233556E-2</v>
      </c>
      <c r="FW31" s="64">
        <f t="shared" si="88"/>
        <v>7.2225000000000011E-2</v>
      </c>
      <c r="FX31" s="64">
        <f t="shared" si="89"/>
        <v>1.5741346153846193E-2</v>
      </c>
      <c r="FY31" s="64">
        <f t="shared" si="90"/>
        <v>5.0825000000000349E-3</v>
      </c>
      <c r="FZ31" s="280">
        <f t="shared" si="91"/>
        <v>2.1571199999999954E-2</v>
      </c>
      <c r="GA31" s="64"/>
      <c r="GB31" s="89">
        <v>2041</v>
      </c>
      <c r="GC31" s="278">
        <f t="shared" si="92"/>
        <v>1.02</v>
      </c>
      <c r="GE31" s="278">
        <f t="shared" si="93"/>
        <v>0.27820157467349271</v>
      </c>
      <c r="GF31" s="278">
        <f t="shared" si="94"/>
        <v>0.05</v>
      </c>
      <c r="GG31" s="64">
        <f t="shared" si="95"/>
        <v>0.21253985187339131</v>
      </c>
      <c r="GH31" s="64">
        <f t="shared" si="96"/>
        <v>3.6311519999999993E-2</v>
      </c>
      <c r="GI31" s="64">
        <f t="shared" si="97"/>
        <v>0.26242335766423358</v>
      </c>
      <c r="GJ31" s="64">
        <f t="shared" si="98"/>
        <v>7.8180291970802937E-2</v>
      </c>
      <c r="GK31" s="64">
        <f t="shared" si="99"/>
        <v>3.7723357664233556E-2</v>
      </c>
      <c r="GL31" s="64">
        <f t="shared" si="100"/>
        <v>7.2225000000000011E-2</v>
      </c>
      <c r="GM31" s="64">
        <f t="shared" si="101"/>
        <v>1.5741346153846193E-2</v>
      </c>
      <c r="GN31" s="64">
        <f t="shared" si="102"/>
        <v>5.0825000000000349E-3</v>
      </c>
      <c r="GO31" s="280">
        <f t="shared" si="103"/>
        <v>2.1571199999999954E-2</v>
      </c>
      <c r="GP31" s="64"/>
      <c r="GQ31" s="89">
        <v>2041</v>
      </c>
      <c r="GR31" s="278">
        <f t="shared" si="104"/>
        <v>1.02</v>
      </c>
      <c r="GT31" s="278">
        <f t="shared" si="105"/>
        <v>0.33089243196462303</v>
      </c>
      <c r="GU31" s="278">
        <f t="shared" si="106"/>
        <v>0.05</v>
      </c>
      <c r="GV31" s="64">
        <f t="shared" si="107"/>
        <v>0.14169323458226091</v>
      </c>
      <c r="GW31" s="64">
        <f t="shared" si="108"/>
        <v>5.4467279999999993E-2</v>
      </c>
      <c r="GX31" s="64">
        <f t="shared" si="109"/>
        <v>0.26242335766423358</v>
      </c>
      <c r="GY31" s="64">
        <f t="shared" si="110"/>
        <v>7.8180291970802937E-2</v>
      </c>
      <c r="GZ31" s="64">
        <f t="shared" si="111"/>
        <v>3.7723357664233556E-2</v>
      </c>
      <c r="HA31" s="64">
        <f t="shared" si="112"/>
        <v>7.2225000000000011E-2</v>
      </c>
      <c r="HB31" s="64">
        <f t="shared" si="113"/>
        <v>1.5741346153846193E-2</v>
      </c>
      <c r="HC31" s="64">
        <f t="shared" si="114"/>
        <v>5.0825000000000349E-3</v>
      </c>
      <c r="HD31" s="280">
        <f t="shared" si="115"/>
        <v>2.1571199999999954E-2</v>
      </c>
      <c r="HE31" s="64"/>
      <c r="HF31" s="89">
        <v>2041</v>
      </c>
      <c r="HG31" s="278">
        <f t="shared" si="116"/>
        <v>1.02</v>
      </c>
      <c r="HI31" s="278">
        <f t="shared" si="117"/>
        <v>0.38358328925575347</v>
      </c>
      <c r="HJ31" s="278">
        <f t="shared" si="118"/>
        <v>0.05</v>
      </c>
      <c r="HK31" s="64">
        <f t="shared" si="119"/>
        <v>7.084661729113044E-2</v>
      </c>
      <c r="HL31" s="64">
        <f t="shared" si="120"/>
        <v>7.2623039999999986E-2</v>
      </c>
      <c r="HM31" s="64">
        <f t="shared" si="121"/>
        <v>0.26242335766423358</v>
      </c>
      <c r="HN31" s="64">
        <f t="shared" si="122"/>
        <v>7.8180291970802937E-2</v>
      </c>
      <c r="HO31" s="64">
        <f t="shared" si="123"/>
        <v>3.7723357664233556E-2</v>
      </c>
      <c r="HP31" s="64">
        <f t="shared" si="124"/>
        <v>7.2225000000000011E-2</v>
      </c>
      <c r="HQ31" s="64">
        <f t="shared" si="125"/>
        <v>1.5741346153846193E-2</v>
      </c>
      <c r="HR31" s="64">
        <f t="shared" si="126"/>
        <v>5.0825000000000349E-3</v>
      </c>
      <c r="HS31" s="280">
        <f t="shared" si="127"/>
        <v>2.1571199999999954E-2</v>
      </c>
      <c r="HT31" s="64"/>
      <c r="HU31" s="89">
        <v>2041</v>
      </c>
      <c r="HV31" s="278">
        <f t="shared" si="128"/>
        <v>1.02</v>
      </c>
      <c r="HX31" s="278">
        <f t="shared" si="129"/>
        <v>0.40992871790131868</v>
      </c>
      <c r="HY31" s="278">
        <f t="shared" si="130"/>
        <v>0.05</v>
      </c>
      <c r="HZ31" s="64">
        <f t="shared" si="131"/>
        <v>3.5423308645565192E-2</v>
      </c>
      <c r="IA31" s="64">
        <f t="shared" si="132"/>
        <v>8.1700919999999982E-2</v>
      </c>
      <c r="IB31" s="64">
        <f t="shared" si="133"/>
        <v>0.26242335766423358</v>
      </c>
      <c r="IC31" s="64">
        <f t="shared" si="134"/>
        <v>7.8180291970802937E-2</v>
      </c>
      <c r="ID31" s="64">
        <f t="shared" si="135"/>
        <v>3.7723357664233556E-2</v>
      </c>
      <c r="IE31" s="64">
        <f t="shared" si="136"/>
        <v>7.2225000000000011E-2</v>
      </c>
      <c r="IF31" s="64">
        <f t="shared" si="137"/>
        <v>1.5741346153846193E-2</v>
      </c>
      <c r="IG31" s="64">
        <f t="shared" si="138"/>
        <v>5.0825000000000349E-3</v>
      </c>
      <c r="IH31" s="280">
        <f t="shared" si="139"/>
        <v>2.1571199999999954E-2</v>
      </c>
      <c r="II31" s="64"/>
      <c r="IJ31" s="89">
        <v>2041</v>
      </c>
      <c r="IK31" s="278">
        <f t="shared" si="140"/>
        <v>1.02</v>
      </c>
      <c r="IM31" s="278">
        <f t="shared" si="141"/>
        <v>0.4362741465468839</v>
      </c>
      <c r="IN31" s="278">
        <f t="shared" si="142"/>
        <v>0.05</v>
      </c>
      <c r="IO31" s="64">
        <v>0</v>
      </c>
      <c r="IP31" s="64">
        <f t="shared" si="143"/>
        <v>9.0778799999999979E-2</v>
      </c>
      <c r="IQ31" s="64">
        <f t="shared" si="144"/>
        <v>0.26242335766423358</v>
      </c>
      <c r="IR31" s="64">
        <f t="shared" si="145"/>
        <v>7.8180291970802937E-2</v>
      </c>
      <c r="IS31" s="64">
        <f t="shared" si="146"/>
        <v>3.7723357664233556E-2</v>
      </c>
      <c r="IT31" s="64">
        <f t="shared" si="147"/>
        <v>7.2225000000000011E-2</v>
      </c>
      <c r="IU31" s="64">
        <f t="shared" si="148"/>
        <v>1.5741346153846193E-2</v>
      </c>
      <c r="IV31" s="64">
        <f t="shared" si="149"/>
        <v>5.0825000000000349E-3</v>
      </c>
      <c r="IW31" s="280">
        <f t="shared" si="150"/>
        <v>2.1571199999999954E-2</v>
      </c>
      <c r="IX31" s="3">
        <f t="shared" si="151"/>
        <v>0.25750000000000028</v>
      </c>
      <c r="IY31">
        <f t="shared" si="36"/>
        <v>2041</v>
      </c>
      <c r="IZ31" s="3">
        <f t="shared" si="152"/>
        <v>14.264839816089591</v>
      </c>
      <c r="JA31" s="353">
        <f>HLOOKUP($JG$3,'Timing calculations'!JH$8:JT$39,24,FALSE)</f>
        <v>13.090400742347963</v>
      </c>
      <c r="JB31" s="3">
        <f t="shared" si="153"/>
        <v>21.669999999999998</v>
      </c>
      <c r="JC31" s="353">
        <f t="shared" si="154"/>
        <v>22.810526315789474</v>
      </c>
      <c r="JD31" s="418">
        <f t="shared" si="37"/>
        <v>0.25750000000000006</v>
      </c>
      <c r="JE31" s="368">
        <f t="shared" si="155"/>
        <v>11.494999999999996</v>
      </c>
      <c r="JF31" s="369">
        <f t="shared" si="156"/>
        <v>12.099999999999996</v>
      </c>
      <c r="JG31" s="363">
        <f t="shared" si="157"/>
        <v>11.976157139476593</v>
      </c>
      <c r="JH31" s="362">
        <f t="shared" si="38"/>
        <v>12.606481199449046</v>
      </c>
      <c r="JI31" s="366">
        <f t="shared" si="39"/>
        <v>12.435880705230565</v>
      </c>
      <c r="JJ31" s="367">
        <f t="shared" si="9"/>
        <v>13.090400742347963</v>
      </c>
      <c r="JK31" s="363">
        <f t="shared" si="40"/>
        <v>12.895604270984535</v>
      </c>
      <c r="JL31" s="362">
        <f t="shared" si="41"/>
        <v>13.574320285246879</v>
      </c>
      <c r="JM31" s="366">
        <f t="shared" si="158"/>
        <v>13.35532783673851</v>
      </c>
      <c r="JN31" s="367">
        <f t="shared" si="42"/>
        <v>14.058239828145801</v>
      </c>
      <c r="JO31" s="363">
        <f t="shared" si="159"/>
        <v>13.815051402492481</v>
      </c>
      <c r="JP31" s="362">
        <f t="shared" si="43"/>
        <v>14.542159371044717</v>
      </c>
      <c r="JQ31" s="366">
        <f t="shared" si="160"/>
        <v>14.039945609291038</v>
      </c>
      <c r="JR31" s="367">
        <f t="shared" si="44"/>
        <v>14.778890115043199</v>
      </c>
      <c r="JS31" s="363">
        <f t="shared" si="161"/>
        <v>14.264839816089591</v>
      </c>
      <c r="JT31" s="362">
        <f t="shared" si="45"/>
        <v>15.015620859041675</v>
      </c>
      <c r="JV31" t="s">
        <v>259</v>
      </c>
    </row>
    <row r="32" spans="1:282">
      <c r="A32" s="259">
        <f>'1 StrategyMix for CarbonTargets'!V31</f>
        <v>0.2</v>
      </c>
      <c r="B32" s="247"/>
      <c r="C32" s="247"/>
      <c r="D32" s="247"/>
      <c r="E32" s="293"/>
      <c r="F32" s="293"/>
      <c r="G32" s="294" t="s">
        <v>94</v>
      </c>
      <c r="H32" s="302" cm="1">
        <f t="array" ref="H32">INDEX('SHIFT_from car driver'!AJ10:AJ54,MATCH(1,(A9='SHIFT_from car driver'!A10:A54)*(A32='SHIFT_from car driver'!B10:B54),0))</f>
        <v>4.1479332849891234E-2</v>
      </c>
      <c r="I32" s="304" cm="1">
        <f t="array" ref="I32">INDEX('SHIFT_from car driver'!AF10:AF54,MATCH(1,(A9='SHIFT_from car driver'!A10:A54)*(A32='SHIFT_from car driver'!B10:B54),0))</f>
        <v>4.6833422032996286E-2</v>
      </c>
      <c r="J32" s="305" cm="1">
        <f t="array" ref="J32">INDEX('SHIFT_from car driver'!AB10:AB54,MATCH(1,(A9='SHIFT_from car driver'!A10:A54)*(A32='SHIFT_from car driver'!B10:B54),0))</f>
        <v>0.10437956204379562</v>
      </c>
      <c r="K32" s="64"/>
      <c r="AO32" s="89">
        <v>2042</v>
      </c>
      <c r="AP32" s="170">
        <f t="shared" si="185"/>
        <v>-2.112E-2</v>
      </c>
      <c r="AQ32" s="170">
        <f t="shared" si="185"/>
        <v>-5.0000000000000027E-3</v>
      </c>
      <c r="AR32" s="170">
        <f t="shared" si="185"/>
        <v>-1.5576923076923073E-2</v>
      </c>
      <c r="AS32" s="170">
        <f t="shared" si="185"/>
        <v>-6.7500000000000004E-2</v>
      </c>
      <c r="AU32" s="170">
        <f t="shared" si="186"/>
        <v>-3.6934306569343059E-2</v>
      </c>
      <c r="AV32" s="170">
        <f t="shared" si="186"/>
        <v>-7.6545012165450149E-2</v>
      </c>
      <c r="AW32" s="170">
        <f t="shared" si="186"/>
        <v>-0.24525547445255474</v>
      </c>
      <c r="AY32" s="170">
        <f t="shared" si="164"/>
        <v>-8.4839999999999971E-2</v>
      </c>
      <c r="AZ32" s="278">
        <f t="shared" si="165"/>
        <v>8.4839999999999968E-3</v>
      </c>
      <c r="BA32" s="284">
        <f t="shared" si="166"/>
        <v>-3.3737990817391282E-2</v>
      </c>
      <c r="BB32" s="276">
        <f t="shared" si="167"/>
        <v>-3.8794749913043457E-2</v>
      </c>
      <c r="BC32" s="277">
        <f t="shared" si="10"/>
        <v>-3.3737990817391282E-2</v>
      </c>
      <c r="BD32" s="278">
        <f t="shared" si="168"/>
        <v>8.4839999999999968E-3</v>
      </c>
      <c r="BE32" s="284">
        <f t="shared" si="169"/>
        <v>-3.3737990817391324E-2</v>
      </c>
      <c r="BF32" s="276">
        <f t="shared" si="170"/>
        <v>-3.8794749913043457E-2</v>
      </c>
      <c r="BG32" s="277">
        <f t="shared" si="11"/>
        <v>-3.3737990817391324E-2</v>
      </c>
      <c r="BH32" s="278">
        <f t="shared" si="171"/>
        <v>1.6967999999999994E-2</v>
      </c>
      <c r="BI32" s="284">
        <f t="shared" si="172"/>
        <v>-6.7475981634782634E-2</v>
      </c>
      <c r="BJ32" s="276">
        <f t="shared" si="173"/>
        <v>-7.7589499826087024E-2</v>
      </c>
      <c r="BK32" s="277">
        <f t="shared" si="12"/>
        <v>-6.7475981634782634E-2</v>
      </c>
      <c r="BL32" s="278">
        <f t="shared" si="174"/>
        <v>1.6967999999999994E-2</v>
      </c>
      <c r="BM32" s="284">
        <f t="shared" si="175"/>
        <v>-6.7475981634782592E-2</v>
      </c>
      <c r="BN32" s="276">
        <f t="shared" si="176"/>
        <v>-7.7589499826086886E-2</v>
      </c>
      <c r="BO32" s="277">
        <f t="shared" si="13"/>
        <v>-6.7475981634782592E-2</v>
      </c>
      <c r="BP32" s="278">
        <f t="shared" si="177"/>
        <v>1.6967999999999994E-2</v>
      </c>
      <c r="BQ32" s="284">
        <f t="shared" si="178"/>
        <v>-6.7475981634782647E-2</v>
      </c>
      <c r="BR32" s="276">
        <f t="shared" si="179"/>
        <v>-7.7589499826086997E-2</v>
      </c>
      <c r="BS32" s="277">
        <f t="shared" si="14"/>
        <v>-6.7475981634782647E-2</v>
      </c>
      <c r="BT32" s="278">
        <f t="shared" si="180"/>
        <v>1.6967999999999994E-2</v>
      </c>
      <c r="BU32" s="284">
        <f t="shared" si="181"/>
        <v>-6.7475981634782592E-2</v>
      </c>
      <c r="BV32" s="276">
        <f t="shared" si="182"/>
        <v>-7.7589499826086941E-2</v>
      </c>
      <c r="BW32" s="278">
        <f t="shared" si="15"/>
        <v>-6.7475981634782592E-2</v>
      </c>
      <c r="BX32" s="391">
        <f t="shared" si="46"/>
        <v>-1.6968E-2</v>
      </c>
      <c r="BY32" s="392">
        <f t="shared" si="47"/>
        <v>-0.26990392653913048</v>
      </c>
      <c r="BZ32" s="278"/>
      <c r="CB32" s="279">
        <f t="shared" si="183"/>
        <v>-0.55277171626427091</v>
      </c>
      <c r="CC32" s="64">
        <f t="shared" si="17"/>
        <v>-0.57802570708166212</v>
      </c>
      <c r="CD32" s="64">
        <f t="shared" si="18"/>
        <v>-0.60327969789905345</v>
      </c>
      <c r="CE32" s="64">
        <f t="shared" si="19"/>
        <v>-0.6537876795338361</v>
      </c>
      <c r="CF32" s="64">
        <f t="shared" si="20"/>
        <v>-0.70429566116861875</v>
      </c>
      <c r="CG32" s="64">
        <f t="shared" si="21"/>
        <v>-0.7548036428034014</v>
      </c>
      <c r="CH32" s="64">
        <f t="shared" si="22"/>
        <v>-0.80531162443818405</v>
      </c>
      <c r="CI32">
        <v>2042</v>
      </c>
      <c r="CJ32" s="240"/>
      <c r="CL32">
        <v>2042</v>
      </c>
      <c r="CM32" s="3">
        <f t="shared" si="48"/>
        <v>0.95</v>
      </c>
      <c r="CN32" s="64">
        <f t="shared" si="23"/>
        <v>0.92887999999999993</v>
      </c>
      <c r="CO32" s="64">
        <f t="shared" si="23"/>
        <v>0.92387999999999992</v>
      </c>
      <c r="CP32" s="64">
        <f t="shared" si="23"/>
        <v>0.90830307692307688</v>
      </c>
      <c r="CQ32" s="64">
        <f t="shared" si="23"/>
        <v>0.84080307692307688</v>
      </c>
      <c r="CR32" s="64">
        <f t="shared" si="24"/>
        <v>0.80386877035373383</v>
      </c>
      <c r="CS32" s="64">
        <f t="shared" si="24"/>
        <v>0.72732375818828365</v>
      </c>
      <c r="CT32" s="64">
        <f t="shared" si="24"/>
        <v>0.48206828373572891</v>
      </c>
      <c r="CU32" s="64">
        <f t="shared" si="25"/>
        <v>0.39722828373572894</v>
      </c>
      <c r="CV32" s="64">
        <f t="shared" si="25"/>
        <v>0.40571228373572893</v>
      </c>
      <c r="CW32" s="65">
        <f t="shared" si="49"/>
        <v>0.37197429291833767</v>
      </c>
      <c r="CX32" s="64">
        <f t="shared" si="50"/>
        <v>0.41419628373572892</v>
      </c>
      <c r="CY32" s="65">
        <f t="shared" si="51"/>
        <v>0.34672030210094634</v>
      </c>
      <c r="CZ32" s="64">
        <f t="shared" si="52"/>
        <v>0.4311642837357289</v>
      </c>
      <c r="DA32" s="65">
        <f t="shared" si="53"/>
        <v>0.29621232046616369</v>
      </c>
      <c r="DB32" s="64">
        <f t="shared" si="54"/>
        <v>0.44813228373572889</v>
      </c>
      <c r="DC32" s="65">
        <f t="shared" si="55"/>
        <v>0.2457043388313811</v>
      </c>
      <c r="DD32" s="64">
        <f t="shared" si="56"/>
        <v>0.46510028373572887</v>
      </c>
      <c r="DE32" s="65">
        <f t="shared" si="57"/>
        <v>0.19519635719659845</v>
      </c>
      <c r="DF32" s="64">
        <f t="shared" si="58"/>
        <v>0.48206828373572885</v>
      </c>
      <c r="DG32" s="65">
        <f t="shared" si="59"/>
        <v>0.14468837556181585</v>
      </c>
      <c r="DL32">
        <v>2042</v>
      </c>
      <c r="DM32" s="64">
        <f t="shared" si="60"/>
        <v>0.14468837556181585</v>
      </c>
      <c r="DN32" s="64">
        <f t="shared" si="61"/>
        <v>0.19519635719659845</v>
      </c>
      <c r="DO32" s="64">
        <f t="shared" si="62"/>
        <v>0.2457043388313811</v>
      </c>
      <c r="DP32" s="64">
        <f t="shared" si="63"/>
        <v>0.29621232046616369</v>
      </c>
      <c r="DQ32" s="64">
        <f t="shared" si="64"/>
        <v>0.34672030210094634</v>
      </c>
      <c r="DR32" s="64">
        <f t="shared" si="65"/>
        <v>0.37197429291833767</v>
      </c>
      <c r="DS32" s="64">
        <f t="shared" si="26"/>
        <v>0.39722828373572894</v>
      </c>
      <c r="DT32" s="64">
        <f t="shared" si="27"/>
        <v>0.48206828373572891</v>
      </c>
      <c r="DU32" s="64">
        <f t="shared" si="28"/>
        <v>0.72732375818828365</v>
      </c>
      <c r="DV32" s="64">
        <f t="shared" si="29"/>
        <v>0.80386877035373383</v>
      </c>
      <c r="DW32" s="64">
        <f t="shared" si="30"/>
        <v>0.84080307692307688</v>
      </c>
      <c r="DX32" s="64">
        <f t="shared" si="31"/>
        <v>0.90830307692307688</v>
      </c>
      <c r="DY32" s="64">
        <f t="shared" si="32"/>
        <v>0.92387999999999992</v>
      </c>
      <c r="DZ32" s="64">
        <f t="shared" si="33"/>
        <v>0.92887999999999993</v>
      </c>
      <c r="EA32" s="3">
        <f t="shared" si="66"/>
        <v>0.95</v>
      </c>
      <c r="EB32">
        <v>2042</v>
      </c>
      <c r="EC32" s="269">
        <f t="shared" si="67"/>
        <v>0.14468837556181591</v>
      </c>
      <c r="ED32" s="269">
        <f t="shared" si="68"/>
        <v>0.05</v>
      </c>
      <c r="EE32" s="64">
        <f t="shared" si="184"/>
        <v>5.0507981634782595E-2</v>
      </c>
      <c r="EF32" s="64">
        <f t="shared" si="184"/>
        <v>5.050798163478265E-2</v>
      </c>
      <c r="EG32" s="64">
        <f t="shared" si="184"/>
        <v>5.0507981634782595E-2</v>
      </c>
      <c r="EH32" s="64">
        <f t="shared" si="184"/>
        <v>5.050798163478265E-2</v>
      </c>
      <c r="EI32" s="64">
        <f t="shared" si="184"/>
        <v>2.5253990817391325E-2</v>
      </c>
      <c r="EJ32" s="64">
        <f t="shared" si="184"/>
        <v>2.525399081739127E-2</v>
      </c>
      <c r="EK32" s="64">
        <f t="shared" si="184"/>
        <v>8.4839999999999971E-2</v>
      </c>
      <c r="EL32" s="64">
        <f t="shared" si="184"/>
        <v>0.24525547445255474</v>
      </c>
      <c r="EM32" s="64">
        <f t="shared" si="184"/>
        <v>7.6545012165450177E-2</v>
      </c>
      <c r="EN32" s="64">
        <f t="shared" si="184"/>
        <v>3.6934306569343045E-2</v>
      </c>
      <c r="EO32" s="64">
        <f t="shared" si="184"/>
        <v>6.7500000000000004E-2</v>
      </c>
      <c r="EP32" s="64">
        <f t="shared" si="184"/>
        <v>1.5576923076923044E-2</v>
      </c>
      <c r="EQ32" s="64">
        <f t="shared" si="184"/>
        <v>5.0000000000000044E-3</v>
      </c>
      <c r="ER32" s="64">
        <f t="shared" si="184"/>
        <v>2.1120000000000028E-2</v>
      </c>
      <c r="EX32" s="89">
        <v>2042</v>
      </c>
      <c r="EY32" s="278">
        <f t="shared" si="69"/>
        <v>1.0233333333333332</v>
      </c>
      <c r="EZ32" s="278"/>
      <c r="FA32" s="278">
        <f t="shared" si="70"/>
        <v>0.15896552310301559</v>
      </c>
      <c r="FB32" s="278">
        <f t="shared" si="35"/>
        <v>0.05</v>
      </c>
      <c r="FC32" s="64">
        <f t="shared" si="71"/>
        <v>0.36212110144000004</v>
      </c>
      <c r="FD32" s="64">
        <f t="shared" si="72"/>
        <v>7.4477461235270928E-18</v>
      </c>
      <c r="FE32" s="64">
        <f t="shared" si="73"/>
        <v>0.2632408759124088</v>
      </c>
      <c r="FF32" s="64">
        <f t="shared" si="74"/>
        <v>8.2158313057583199E-2</v>
      </c>
      <c r="FG32" s="64">
        <f t="shared" si="75"/>
        <v>3.9642822384428206E-2</v>
      </c>
      <c r="FH32" s="64">
        <f t="shared" si="76"/>
        <v>7.2450000000000014E-2</v>
      </c>
      <c r="FI32" s="64">
        <f t="shared" si="77"/>
        <v>1.6719230769230736E-2</v>
      </c>
      <c r="FJ32" s="64">
        <f t="shared" si="78"/>
        <v>5.3666666666666724E-3</v>
      </c>
      <c r="FK32" s="280">
        <f t="shared" si="79"/>
        <v>2.2668800000000034E-2</v>
      </c>
      <c r="FL32" s="64"/>
      <c r="FM32" s="89">
        <v>2042</v>
      </c>
      <c r="FN32" s="278">
        <f t="shared" si="80"/>
        <v>1.0233333333333332</v>
      </c>
      <c r="FP32" s="278">
        <f t="shared" si="81"/>
        <v>0.21317742339101553</v>
      </c>
      <c r="FQ32" s="278">
        <f t="shared" si="82"/>
        <v>0.05</v>
      </c>
      <c r="FR32" s="64">
        <f t="shared" si="83"/>
        <v>0.2896968811520001</v>
      </c>
      <c r="FS32" s="64">
        <f t="shared" si="84"/>
        <v>1.8212320000000004E-2</v>
      </c>
      <c r="FT32" s="64">
        <f t="shared" si="85"/>
        <v>0.2632408759124088</v>
      </c>
      <c r="FU32" s="64">
        <f t="shared" si="86"/>
        <v>8.2158313057583199E-2</v>
      </c>
      <c r="FV32" s="64">
        <f t="shared" si="87"/>
        <v>3.9642822384428206E-2</v>
      </c>
      <c r="FW32" s="64">
        <f t="shared" si="88"/>
        <v>7.2450000000000014E-2</v>
      </c>
      <c r="FX32" s="64">
        <f t="shared" si="89"/>
        <v>1.6719230769230736E-2</v>
      </c>
      <c r="FY32" s="64">
        <f t="shared" si="90"/>
        <v>5.3666666666666724E-3</v>
      </c>
      <c r="FZ32" s="280">
        <f t="shared" si="91"/>
        <v>2.2668800000000034E-2</v>
      </c>
      <c r="GA32" s="64"/>
      <c r="GB32" s="89">
        <v>2042</v>
      </c>
      <c r="GC32" s="278">
        <f t="shared" si="92"/>
        <v>1.0233333333333332</v>
      </c>
      <c r="GE32" s="278">
        <f t="shared" si="93"/>
        <v>0.26738932367901547</v>
      </c>
      <c r="GF32" s="278">
        <f t="shared" si="94"/>
        <v>0.05</v>
      </c>
      <c r="GG32" s="64">
        <f t="shared" si="95"/>
        <v>0.21727266086400004</v>
      </c>
      <c r="GH32" s="64">
        <f t="shared" si="96"/>
        <v>3.6424640000000001E-2</v>
      </c>
      <c r="GI32" s="64">
        <f t="shared" si="97"/>
        <v>0.2632408759124088</v>
      </c>
      <c r="GJ32" s="64">
        <f t="shared" si="98"/>
        <v>8.2158313057583199E-2</v>
      </c>
      <c r="GK32" s="64">
        <f t="shared" si="99"/>
        <v>3.9642822384428206E-2</v>
      </c>
      <c r="GL32" s="64">
        <f t="shared" si="100"/>
        <v>7.2450000000000014E-2</v>
      </c>
      <c r="GM32" s="64">
        <f t="shared" si="101"/>
        <v>1.6719230769230736E-2</v>
      </c>
      <c r="GN32" s="64">
        <f t="shared" si="102"/>
        <v>5.3666666666666724E-3</v>
      </c>
      <c r="GO32" s="280">
        <f t="shared" si="103"/>
        <v>2.2668800000000034E-2</v>
      </c>
      <c r="GP32" s="64"/>
      <c r="GQ32" s="89">
        <v>2042</v>
      </c>
      <c r="GR32" s="278">
        <f t="shared" si="104"/>
        <v>1.0233333333333332</v>
      </c>
      <c r="GT32" s="278">
        <f t="shared" si="105"/>
        <v>0.32160122396701551</v>
      </c>
      <c r="GU32" s="278">
        <f t="shared" si="106"/>
        <v>0.05</v>
      </c>
      <c r="GV32" s="64">
        <f t="shared" si="107"/>
        <v>0.14484844057600005</v>
      </c>
      <c r="GW32" s="64">
        <f t="shared" si="108"/>
        <v>5.4636959999999998E-2</v>
      </c>
      <c r="GX32" s="64">
        <f t="shared" si="109"/>
        <v>0.2632408759124088</v>
      </c>
      <c r="GY32" s="64">
        <f t="shared" si="110"/>
        <v>8.2158313057583199E-2</v>
      </c>
      <c r="GZ32" s="64">
        <f t="shared" si="111"/>
        <v>3.9642822384428206E-2</v>
      </c>
      <c r="HA32" s="64">
        <f t="shared" si="112"/>
        <v>7.2450000000000014E-2</v>
      </c>
      <c r="HB32" s="64">
        <f t="shared" si="113"/>
        <v>1.6719230769230736E-2</v>
      </c>
      <c r="HC32" s="64">
        <f t="shared" si="114"/>
        <v>5.3666666666666724E-3</v>
      </c>
      <c r="HD32" s="280">
        <f t="shared" si="115"/>
        <v>2.2668800000000034E-2</v>
      </c>
      <c r="HE32" s="64"/>
      <c r="HF32" s="89">
        <v>2042</v>
      </c>
      <c r="HG32" s="278">
        <f t="shared" si="116"/>
        <v>1.0233333333333332</v>
      </c>
      <c r="HI32" s="278">
        <f t="shared" si="117"/>
        <v>0.37581312425501556</v>
      </c>
      <c r="HJ32" s="278">
        <f t="shared" si="118"/>
        <v>0.05</v>
      </c>
      <c r="HK32" s="64">
        <f t="shared" si="119"/>
        <v>7.242422028800001E-2</v>
      </c>
      <c r="HL32" s="64">
        <f t="shared" si="120"/>
        <v>7.2849280000000002E-2</v>
      </c>
      <c r="HM32" s="64">
        <f t="shared" si="121"/>
        <v>0.2632408759124088</v>
      </c>
      <c r="HN32" s="64">
        <f t="shared" si="122"/>
        <v>8.2158313057583199E-2</v>
      </c>
      <c r="HO32" s="64">
        <f t="shared" si="123"/>
        <v>3.9642822384428206E-2</v>
      </c>
      <c r="HP32" s="64">
        <f t="shared" si="124"/>
        <v>7.2450000000000014E-2</v>
      </c>
      <c r="HQ32" s="64">
        <f t="shared" si="125"/>
        <v>1.6719230769230736E-2</v>
      </c>
      <c r="HR32" s="64">
        <f t="shared" si="126"/>
        <v>5.3666666666666724E-3</v>
      </c>
      <c r="HS32" s="280">
        <f t="shared" si="127"/>
        <v>2.2668800000000034E-2</v>
      </c>
      <c r="HT32" s="64"/>
      <c r="HU32" s="89">
        <v>2042</v>
      </c>
      <c r="HV32" s="278">
        <f t="shared" si="128"/>
        <v>1.0233333333333332</v>
      </c>
      <c r="HX32" s="278">
        <f t="shared" si="129"/>
        <v>0.40291907439901553</v>
      </c>
      <c r="HY32" s="278">
        <f t="shared" si="130"/>
        <v>0.05</v>
      </c>
      <c r="HZ32" s="64">
        <f t="shared" si="131"/>
        <v>3.6212110143999977E-2</v>
      </c>
      <c r="IA32" s="64">
        <f t="shared" si="132"/>
        <v>8.1955439999999991E-2</v>
      </c>
      <c r="IB32" s="64">
        <f t="shared" si="133"/>
        <v>0.2632408759124088</v>
      </c>
      <c r="IC32" s="64">
        <f t="shared" si="134"/>
        <v>8.2158313057583199E-2</v>
      </c>
      <c r="ID32" s="64">
        <f t="shared" si="135"/>
        <v>3.9642822384428206E-2</v>
      </c>
      <c r="IE32" s="64">
        <f t="shared" si="136"/>
        <v>7.2450000000000014E-2</v>
      </c>
      <c r="IF32" s="64">
        <f t="shared" si="137"/>
        <v>1.6719230769230736E-2</v>
      </c>
      <c r="IG32" s="64">
        <f t="shared" si="138"/>
        <v>5.3666666666666724E-3</v>
      </c>
      <c r="IH32" s="280">
        <f t="shared" si="139"/>
        <v>2.2668800000000034E-2</v>
      </c>
      <c r="II32" s="64"/>
      <c r="IJ32" s="89">
        <v>2042</v>
      </c>
      <c r="IK32" s="278">
        <f t="shared" si="140"/>
        <v>1.0233333333333332</v>
      </c>
      <c r="IM32" s="278">
        <f t="shared" si="141"/>
        <v>0.43002502454301561</v>
      </c>
      <c r="IN32" s="278">
        <f t="shared" si="142"/>
        <v>0.05</v>
      </c>
      <c r="IO32" s="64">
        <v>0</v>
      </c>
      <c r="IP32" s="64">
        <f t="shared" si="143"/>
        <v>9.1061599999999979E-2</v>
      </c>
      <c r="IQ32" s="64">
        <f t="shared" si="144"/>
        <v>0.2632408759124088</v>
      </c>
      <c r="IR32" s="64">
        <f t="shared" si="145"/>
        <v>8.2158313057583199E-2</v>
      </c>
      <c r="IS32" s="64">
        <f t="shared" si="146"/>
        <v>3.9642822384428206E-2</v>
      </c>
      <c r="IT32" s="64">
        <f t="shared" si="147"/>
        <v>7.2450000000000014E-2</v>
      </c>
      <c r="IU32" s="64">
        <f t="shared" si="148"/>
        <v>1.6719230769230736E-2</v>
      </c>
      <c r="IV32" s="64">
        <f t="shared" si="149"/>
        <v>5.3666666666666724E-3</v>
      </c>
      <c r="IW32" s="280">
        <f t="shared" si="150"/>
        <v>2.2668800000000034E-2</v>
      </c>
      <c r="IX32" s="3">
        <f t="shared" si="151"/>
        <v>0.24000000000000021</v>
      </c>
      <c r="IY32">
        <f t="shared" si="36"/>
        <v>2042</v>
      </c>
      <c r="IZ32" s="3">
        <f t="shared" si="152"/>
        <v>14.694864840632606</v>
      </c>
      <c r="JA32" s="353">
        <f>HLOOKUP($JG$3,'Timing calculations'!JH$8:JT$39,25,FALSE)</f>
        <v>13.314798030127978</v>
      </c>
      <c r="JB32" s="3">
        <f t="shared" si="153"/>
        <v>22.693333333333332</v>
      </c>
      <c r="JC32" s="353">
        <f t="shared" si="154"/>
        <v>23.887719298245614</v>
      </c>
      <c r="JD32" s="418">
        <f t="shared" si="37"/>
        <v>0.24000000000000007</v>
      </c>
      <c r="JE32" s="368">
        <f t="shared" si="155"/>
        <v>11.734999999999996</v>
      </c>
      <c r="JF32" s="369">
        <f t="shared" si="156"/>
        <v>12.352631578947365</v>
      </c>
      <c r="JG32" s="363">
        <f t="shared" si="157"/>
        <v>12.135122662579608</v>
      </c>
      <c r="JH32" s="362">
        <f t="shared" si="38"/>
        <v>12.773813329031167</v>
      </c>
      <c r="JI32" s="366">
        <f t="shared" si="39"/>
        <v>12.649058128621579</v>
      </c>
      <c r="JJ32" s="367">
        <f t="shared" si="9"/>
        <v>13.314798030127978</v>
      </c>
      <c r="JK32" s="363">
        <f t="shared" si="40"/>
        <v>13.162993594663551</v>
      </c>
      <c r="JL32" s="362">
        <f t="shared" si="41"/>
        <v>13.855782731224791</v>
      </c>
      <c r="JM32" s="366">
        <f t="shared" si="158"/>
        <v>13.676929060705525</v>
      </c>
      <c r="JN32" s="367">
        <f t="shared" si="42"/>
        <v>14.396767432321607</v>
      </c>
      <c r="JO32" s="363">
        <f t="shared" si="159"/>
        <v>14.190864526747497</v>
      </c>
      <c r="JP32" s="362">
        <f t="shared" si="43"/>
        <v>14.937752133418417</v>
      </c>
      <c r="JQ32" s="366">
        <f t="shared" si="160"/>
        <v>14.442864683690054</v>
      </c>
      <c r="JR32" s="367">
        <f t="shared" si="44"/>
        <v>15.203015456515848</v>
      </c>
      <c r="JS32" s="363">
        <f t="shared" si="161"/>
        <v>14.694864840632606</v>
      </c>
      <c r="JT32" s="362">
        <f t="shared" si="45"/>
        <v>15.46827877961327</v>
      </c>
      <c r="JV32" t="s">
        <v>260</v>
      </c>
    </row>
    <row r="33" spans="1:282">
      <c r="A33" s="259">
        <f>'1 StrategyMix for CarbonTargets'!V33</f>
        <v>0.2</v>
      </c>
      <c r="B33" s="247"/>
      <c r="C33" s="247"/>
      <c r="D33" s="247"/>
      <c r="E33" s="293"/>
      <c r="F33" s="293"/>
      <c r="G33" s="294" t="s">
        <v>95</v>
      </c>
      <c r="H33" s="306" cm="1">
        <f t="array" ref="H33">INDEX('SHIFT_from car driver'!AK10:AK54,MATCH(1,(A9='SHIFT_from car driver'!A10:A54)*(A33='SHIFT_from car driver'!B10:B54),0))</f>
        <v>0.34807831762146491</v>
      </c>
      <c r="I33" s="307" cm="1">
        <f t="array" ref="I33">INDEX('SHIFT_from car driver'!AG10:AG54,MATCH(1,(A9='SHIFT_from car driver'!A10:A54)*(A33='SHIFT_from car driver'!B10:B54),0))</f>
        <v>0.32953698775944656</v>
      </c>
      <c r="J33" s="308" cm="1">
        <f t="array" ref="J33">INDEX('SHIFT_from car driver'!AC10:AC54,MATCH(1,(A9='SHIFT_from car driver'!A10:A54)*(A33='SHIFT_from car driver'!B10:B54),0))</f>
        <v>0.24525547445255474</v>
      </c>
      <c r="K33" s="64"/>
      <c r="AO33" s="89">
        <v>2043</v>
      </c>
      <c r="AP33" s="170">
        <f t="shared" si="185"/>
        <v>-2.2079999999999999E-2</v>
      </c>
      <c r="AQ33" s="170">
        <f t="shared" si="185"/>
        <v>-5.2500000000000029E-3</v>
      </c>
      <c r="AR33" s="170">
        <f t="shared" si="185"/>
        <v>-1.644230769230769E-2</v>
      </c>
      <c r="AS33" s="170">
        <f t="shared" si="185"/>
        <v>-6.7500000000000004E-2</v>
      </c>
      <c r="AU33" s="170">
        <f t="shared" si="186"/>
        <v>-3.8613138686131379E-2</v>
      </c>
      <c r="AV33" s="170">
        <f t="shared" si="186"/>
        <v>-8.0024330900243343E-2</v>
      </c>
      <c r="AW33" s="170">
        <f t="shared" si="186"/>
        <v>-0.24525547445255474</v>
      </c>
      <c r="AY33" s="170">
        <f t="shared" si="164"/>
        <v>-8.4839999999999971E-2</v>
      </c>
      <c r="AZ33" s="278">
        <f t="shared" si="165"/>
        <v>8.4839999999999968E-3</v>
      </c>
      <c r="BA33" s="284">
        <f t="shared" si="166"/>
        <v>-3.4370085704347804E-2</v>
      </c>
      <c r="BB33" s="276">
        <f t="shared" si="167"/>
        <v>-3.8794749913043457E-2</v>
      </c>
      <c r="BC33" s="277">
        <f t="shared" si="10"/>
        <v>-3.4370085704347804E-2</v>
      </c>
      <c r="BD33" s="278">
        <f t="shared" si="168"/>
        <v>8.4839999999999968E-3</v>
      </c>
      <c r="BE33" s="284">
        <f t="shared" si="169"/>
        <v>-3.4370085704347846E-2</v>
      </c>
      <c r="BF33" s="276">
        <f t="shared" si="170"/>
        <v>-3.8794749913043457E-2</v>
      </c>
      <c r="BG33" s="277">
        <f t="shared" si="11"/>
        <v>-3.4370085704347846E-2</v>
      </c>
      <c r="BH33" s="278">
        <f t="shared" si="171"/>
        <v>1.6967999999999994E-2</v>
      </c>
      <c r="BI33" s="284">
        <f t="shared" si="172"/>
        <v>-6.8740171408695677E-2</v>
      </c>
      <c r="BJ33" s="276">
        <f t="shared" si="173"/>
        <v>-7.7589499826087024E-2</v>
      </c>
      <c r="BK33" s="277">
        <f t="shared" si="12"/>
        <v>-6.8740171408695677E-2</v>
      </c>
      <c r="BL33" s="278">
        <f t="shared" si="174"/>
        <v>1.6967999999999994E-2</v>
      </c>
      <c r="BM33" s="284">
        <f t="shared" si="175"/>
        <v>-6.8740171408695636E-2</v>
      </c>
      <c r="BN33" s="276">
        <f t="shared" si="176"/>
        <v>-7.7589499826086886E-2</v>
      </c>
      <c r="BO33" s="277">
        <f t="shared" si="13"/>
        <v>-6.8740171408695636E-2</v>
      </c>
      <c r="BP33" s="278">
        <f t="shared" si="177"/>
        <v>1.6967999999999994E-2</v>
      </c>
      <c r="BQ33" s="284">
        <f t="shared" si="178"/>
        <v>-6.8740171408695691E-2</v>
      </c>
      <c r="BR33" s="276">
        <f t="shared" si="179"/>
        <v>-7.7589499826086997E-2</v>
      </c>
      <c r="BS33" s="277">
        <f t="shared" si="14"/>
        <v>-6.8740171408695691E-2</v>
      </c>
      <c r="BT33" s="278">
        <f t="shared" si="180"/>
        <v>1.6967999999999994E-2</v>
      </c>
      <c r="BU33" s="284">
        <f t="shared" si="181"/>
        <v>-6.8740171408695636E-2</v>
      </c>
      <c r="BV33" s="276">
        <f t="shared" si="182"/>
        <v>-7.7589499826086941E-2</v>
      </c>
      <c r="BW33" s="278">
        <f t="shared" si="15"/>
        <v>-6.8740171408695636E-2</v>
      </c>
      <c r="BX33" s="391">
        <f t="shared" si="46"/>
        <v>-1.6968E-2</v>
      </c>
      <c r="BY33" s="392">
        <f t="shared" si="47"/>
        <v>-0.27496068563478265</v>
      </c>
      <c r="BZ33" s="278"/>
      <c r="CB33" s="279">
        <f t="shared" si="183"/>
        <v>-0.56000525173123716</v>
      </c>
      <c r="CC33" s="64">
        <f t="shared" si="17"/>
        <v>-0.58589133743558497</v>
      </c>
      <c r="CD33" s="64">
        <f t="shared" si="18"/>
        <v>-0.61177742313993277</v>
      </c>
      <c r="CE33" s="64">
        <f t="shared" si="19"/>
        <v>-0.6635495945486285</v>
      </c>
      <c r="CF33" s="64">
        <f t="shared" si="20"/>
        <v>-0.71532176595732411</v>
      </c>
      <c r="CG33" s="64">
        <f t="shared" si="21"/>
        <v>-0.76709393736601983</v>
      </c>
      <c r="CH33" s="64">
        <f t="shared" si="22"/>
        <v>-0.81886610877471544</v>
      </c>
      <c r="CI33">
        <v>2043</v>
      </c>
      <c r="CJ33" s="240"/>
      <c r="CL33">
        <v>2043</v>
      </c>
      <c r="CM33" s="3">
        <f t="shared" si="48"/>
        <v>0.95</v>
      </c>
      <c r="CN33" s="64">
        <f t="shared" si="23"/>
        <v>0.92791999999999997</v>
      </c>
      <c r="CO33" s="64">
        <f t="shared" si="23"/>
        <v>0.92266999999999999</v>
      </c>
      <c r="CP33" s="64">
        <f t="shared" si="23"/>
        <v>0.90622769230769229</v>
      </c>
      <c r="CQ33" s="64">
        <f t="shared" si="23"/>
        <v>0.83872769230769229</v>
      </c>
      <c r="CR33" s="64">
        <f t="shared" si="24"/>
        <v>0.80011455362156092</v>
      </c>
      <c r="CS33" s="64">
        <f t="shared" si="24"/>
        <v>0.72009022272131762</v>
      </c>
      <c r="CT33" s="64">
        <f t="shared" si="24"/>
        <v>0.47483474826876287</v>
      </c>
      <c r="CU33" s="64">
        <f t="shared" si="25"/>
        <v>0.3899947482687629</v>
      </c>
      <c r="CV33" s="64">
        <f t="shared" si="25"/>
        <v>0.39847874826876289</v>
      </c>
      <c r="CW33" s="65">
        <f t="shared" si="49"/>
        <v>0.3641086625644151</v>
      </c>
      <c r="CX33" s="64">
        <f t="shared" si="50"/>
        <v>0.40696274826876289</v>
      </c>
      <c r="CY33" s="65">
        <f t="shared" si="51"/>
        <v>0.33822257686006724</v>
      </c>
      <c r="CZ33" s="64">
        <f t="shared" si="52"/>
        <v>0.42393074826876287</v>
      </c>
      <c r="DA33" s="65">
        <f t="shared" si="53"/>
        <v>0.28645040545137157</v>
      </c>
      <c r="DB33" s="64">
        <f t="shared" si="54"/>
        <v>0.44089874826876285</v>
      </c>
      <c r="DC33" s="65">
        <f t="shared" si="55"/>
        <v>0.2346782340426759</v>
      </c>
      <c r="DD33" s="64">
        <f t="shared" si="56"/>
        <v>0.45786674826876284</v>
      </c>
      <c r="DE33" s="65">
        <f t="shared" si="57"/>
        <v>0.18290606263398018</v>
      </c>
      <c r="DF33" s="64">
        <f t="shared" si="58"/>
        <v>0.47483474826876282</v>
      </c>
      <c r="DG33" s="65">
        <f t="shared" si="59"/>
        <v>0.13113389122528452</v>
      </c>
      <c r="DL33">
        <v>2043</v>
      </c>
      <c r="DM33" s="64">
        <f t="shared" si="60"/>
        <v>0.13113389122528452</v>
      </c>
      <c r="DN33" s="64">
        <f t="shared" si="61"/>
        <v>0.18290606263398018</v>
      </c>
      <c r="DO33" s="64">
        <f t="shared" si="62"/>
        <v>0.2346782340426759</v>
      </c>
      <c r="DP33" s="64">
        <f t="shared" si="63"/>
        <v>0.28645040545137157</v>
      </c>
      <c r="DQ33" s="64">
        <f t="shared" si="64"/>
        <v>0.33822257686006724</v>
      </c>
      <c r="DR33" s="64">
        <f t="shared" si="65"/>
        <v>0.3641086625644151</v>
      </c>
      <c r="DS33" s="64">
        <f t="shared" si="26"/>
        <v>0.3899947482687629</v>
      </c>
      <c r="DT33" s="64">
        <f t="shared" si="27"/>
        <v>0.47483474826876287</v>
      </c>
      <c r="DU33" s="64">
        <f t="shared" si="28"/>
        <v>0.72009022272131762</v>
      </c>
      <c r="DV33" s="64">
        <f t="shared" si="29"/>
        <v>0.80011455362156092</v>
      </c>
      <c r="DW33" s="64">
        <f t="shared" si="30"/>
        <v>0.83872769230769229</v>
      </c>
      <c r="DX33" s="64">
        <f t="shared" si="31"/>
        <v>0.90622769230769229</v>
      </c>
      <c r="DY33" s="64">
        <f t="shared" si="32"/>
        <v>0.92266999999999999</v>
      </c>
      <c r="DZ33" s="64">
        <f t="shared" si="33"/>
        <v>0.92791999999999997</v>
      </c>
      <c r="EA33" s="3">
        <f t="shared" si="66"/>
        <v>0.95</v>
      </c>
      <c r="EB33">
        <v>2043</v>
      </c>
      <c r="EC33" s="269">
        <f t="shared" si="67"/>
        <v>0.13113389122528452</v>
      </c>
      <c r="ED33" s="269">
        <f t="shared" si="68"/>
        <v>0.05</v>
      </c>
      <c r="EE33" s="64">
        <f t="shared" si="184"/>
        <v>5.1772171408695666E-2</v>
      </c>
      <c r="EF33" s="64">
        <f t="shared" si="184"/>
        <v>5.1772171408695722E-2</v>
      </c>
      <c r="EG33" s="64">
        <f t="shared" si="184"/>
        <v>5.1772171408695666E-2</v>
      </c>
      <c r="EH33" s="64">
        <f t="shared" si="184"/>
        <v>5.1772171408695666E-2</v>
      </c>
      <c r="EI33" s="64">
        <f t="shared" si="184"/>
        <v>2.5886085704347861E-2</v>
      </c>
      <c r="EJ33" s="64">
        <f t="shared" si="184"/>
        <v>2.5886085704347805E-2</v>
      </c>
      <c r="EK33" s="64">
        <f t="shared" si="184"/>
        <v>8.4839999999999971E-2</v>
      </c>
      <c r="EL33" s="64">
        <f t="shared" si="184"/>
        <v>0.24525547445255474</v>
      </c>
      <c r="EM33" s="64">
        <f t="shared" si="184"/>
        <v>8.0024330900243301E-2</v>
      </c>
      <c r="EN33" s="64">
        <f t="shared" si="184"/>
        <v>3.8613138686131365E-2</v>
      </c>
      <c r="EO33" s="64">
        <f t="shared" si="184"/>
        <v>6.7500000000000004E-2</v>
      </c>
      <c r="EP33" s="64">
        <f t="shared" si="184"/>
        <v>1.6442307692307701E-2</v>
      </c>
      <c r="EQ33" s="64">
        <f t="shared" si="184"/>
        <v>5.2499999999999769E-3</v>
      </c>
      <c r="ER33" s="64">
        <f t="shared" si="184"/>
        <v>2.2079999999999989E-2</v>
      </c>
      <c r="EX33" s="89">
        <v>2043</v>
      </c>
      <c r="EY33" s="278">
        <f t="shared" si="69"/>
        <v>1.0266666666666666</v>
      </c>
      <c r="EZ33" s="278"/>
      <c r="FA33" s="278">
        <f t="shared" si="70"/>
        <v>0.1450208228858898</v>
      </c>
      <c r="FB33" s="278">
        <f t="shared" si="35"/>
        <v>0.05</v>
      </c>
      <c r="FC33" s="64">
        <f t="shared" si="71"/>
        <v>0.37005125608347822</v>
      </c>
      <c r="FD33" s="64">
        <f t="shared" si="72"/>
        <v>7.4708757698734476E-18</v>
      </c>
      <c r="FE33" s="64">
        <f t="shared" si="73"/>
        <v>0.26405839416058391</v>
      </c>
      <c r="FF33" s="64">
        <f t="shared" si="74"/>
        <v>8.6159529602595264E-2</v>
      </c>
      <c r="FG33" s="64">
        <f t="shared" si="75"/>
        <v>4.1573479318734764E-2</v>
      </c>
      <c r="FH33" s="64">
        <f t="shared" si="76"/>
        <v>7.267499999999999E-2</v>
      </c>
      <c r="FI33" s="64">
        <f t="shared" si="77"/>
        <v>1.770288461538462E-2</v>
      </c>
      <c r="FJ33" s="64">
        <f t="shared" si="78"/>
        <v>5.6524999999999735E-3</v>
      </c>
      <c r="FK33" s="280">
        <f t="shared" si="79"/>
        <v>2.3772799999999983E-2</v>
      </c>
      <c r="FL33" s="64"/>
      <c r="FM33" s="89">
        <v>2043</v>
      </c>
      <c r="FN33" s="278">
        <f t="shared" si="80"/>
        <v>1.0266666666666666</v>
      </c>
      <c r="FP33" s="278">
        <f t="shared" si="81"/>
        <v>0.20076219410258545</v>
      </c>
      <c r="FQ33" s="278">
        <f t="shared" si="82"/>
        <v>0.05</v>
      </c>
      <c r="FR33" s="64">
        <f t="shared" si="83"/>
        <v>0.29604100486678259</v>
      </c>
      <c r="FS33" s="64">
        <f t="shared" si="84"/>
        <v>1.8268879999999998E-2</v>
      </c>
      <c r="FT33" s="64">
        <f t="shared" si="85"/>
        <v>0.26405839416058391</v>
      </c>
      <c r="FU33" s="64">
        <f t="shared" si="86"/>
        <v>8.6159529602595264E-2</v>
      </c>
      <c r="FV33" s="64">
        <f t="shared" si="87"/>
        <v>4.1573479318734764E-2</v>
      </c>
      <c r="FW33" s="64">
        <f t="shared" si="88"/>
        <v>7.267499999999999E-2</v>
      </c>
      <c r="FX33" s="64">
        <f t="shared" si="89"/>
        <v>1.770288461538462E-2</v>
      </c>
      <c r="FY33" s="64">
        <f t="shared" si="90"/>
        <v>5.6524999999999735E-3</v>
      </c>
      <c r="FZ33" s="280">
        <f t="shared" si="91"/>
        <v>2.3772799999999983E-2</v>
      </c>
      <c r="GA33" s="64"/>
      <c r="GB33" s="89">
        <v>2043</v>
      </c>
      <c r="GC33" s="278">
        <f t="shared" si="92"/>
        <v>1.0266666666666666</v>
      </c>
      <c r="GE33" s="278">
        <f t="shared" si="93"/>
        <v>0.25650356531928109</v>
      </c>
      <c r="GF33" s="278">
        <f t="shared" si="94"/>
        <v>0.05</v>
      </c>
      <c r="GG33" s="64">
        <f t="shared" si="95"/>
        <v>0.2220307536500869</v>
      </c>
      <c r="GH33" s="64">
        <f t="shared" si="96"/>
        <v>3.6537759999999989E-2</v>
      </c>
      <c r="GI33" s="64">
        <f t="shared" si="97"/>
        <v>0.26405839416058391</v>
      </c>
      <c r="GJ33" s="64">
        <f t="shared" si="98"/>
        <v>8.6159529602595264E-2</v>
      </c>
      <c r="GK33" s="64">
        <f t="shared" si="99"/>
        <v>4.1573479318734764E-2</v>
      </c>
      <c r="GL33" s="64">
        <f t="shared" si="100"/>
        <v>7.267499999999999E-2</v>
      </c>
      <c r="GM33" s="64">
        <f t="shared" si="101"/>
        <v>1.770288461538462E-2</v>
      </c>
      <c r="GN33" s="64">
        <f t="shared" si="102"/>
        <v>5.6524999999999735E-3</v>
      </c>
      <c r="GO33" s="280">
        <f t="shared" si="103"/>
        <v>2.3772799999999983E-2</v>
      </c>
      <c r="GP33" s="64"/>
      <c r="GQ33" s="89">
        <v>2043</v>
      </c>
      <c r="GR33" s="278">
        <f t="shared" si="104"/>
        <v>1.0266666666666666</v>
      </c>
      <c r="GT33" s="278">
        <f t="shared" si="105"/>
        <v>0.31224493653597674</v>
      </c>
      <c r="GU33" s="278">
        <f t="shared" si="106"/>
        <v>0.05</v>
      </c>
      <c r="GV33" s="64">
        <f t="shared" si="107"/>
        <v>0.14802050243339129</v>
      </c>
      <c r="GW33" s="64">
        <f t="shared" si="108"/>
        <v>5.4806639999999976E-2</v>
      </c>
      <c r="GX33" s="64">
        <f t="shared" si="109"/>
        <v>0.26405839416058391</v>
      </c>
      <c r="GY33" s="64">
        <f t="shared" si="110"/>
        <v>8.6159529602595264E-2</v>
      </c>
      <c r="GZ33" s="64">
        <f t="shared" si="111"/>
        <v>4.1573479318734764E-2</v>
      </c>
      <c r="HA33" s="64">
        <f t="shared" si="112"/>
        <v>7.267499999999999E-2</v>
      </c>
      <c r="HB33" s="64">
        <f t="shared" si="113"/>
        <v>1.770288461538462E-2</v>
      </c>
      <c r="HC33" s="64">
        <f t="shared" si="114"/>
        <v>5.6524999999999735E-3</v>
      </c>
      <c r="HD33" s="280">
        <f t="shared" si="115"/>
        <v>2.3772799999999983E-2</v>
      </c>
      <c r="HE33" s="64"/>
      <c r="HF33" s="89">
        <v>2043</v>
      </c>
      <c r="HG33" s="278">
        <f t="shared" si="116"/>
        <v>1.0266666666666666</v>
      </c>
      <c r="HI33" s="278">
        <f t="shared" si="117"/>
        <v>0.3679863077526726</v>
      </c>
      <c r="HJ33" s="278">
        <f t="shared" si="118"/>
        <v>0.05</v>
      </c>
      <c r="HK33" s="64">
        <f t="shared" si="119"/>
        <v>7.4010251216695633E-2</v>
      </c>
      <c r="HL33" s="64">
        <f t="shared" si="120"/>
        <v>7.3075519999999977E-2</v>
      </c>
      <c r="HM33" s="64">
        <f t="shared" si="121"/>
        <v>0.26405839416058391</v>
      </c>
      <c r="HN33" s="64">
        <f t="shared" si="122"/>
        <v>8.6159529602595264E-2</v>
      </c>
      <c r="HO33" s="64">
        <f t="shared" si="123"/>
        <v>4.1573479318734764E-2</v>
      </c>
      <c r="HP33" s="64">
        <f t="shared" si="124"/>
        <v>7.267499999999999E-2</v>
      </c>
      <c r="HQ33" s="64">
        <f t="shared" si="125"/>
        <v>1.770288461538462E-2</v>
      </c>
      <c r="HR33" s="64">
        <f t="shared" si="126"/>
        <v>5.6524999999999735E-3</v>
      </c>
      <c r="HS33" s="280">
        <f t="shared" si="127"/>
        <v>2.3772799999999983E-2</v>
      </c>
      <c r="HT33" s="64"/>
      <c r="HU33" s="89">
        <v>2043</v>
      </c>
      <c r="HV33" s="278">
        <f t="shared" si="128"/>
        <v>1.0266666666666666</v>
      </c>
      <c r="HX33" s="278">
        <f t="shared" si="129"/>
        <v>0.39585699336102032</v>
      </c>
      <c r="HY33" s="278">
        <f t="shared" si="130"/>
        <v>0.05</v>
      </c>
      <c r="HZ33" s="64">
        <f t="shared" si="131"/>
        <v>3.7005125608347796E-2</v>
      </c>
      <c r="IA33" s="64">
        <f t="shared" si="132"/>
        <v>8.2209959999999957E-2</v>
      </c>
      <c r="IB33" s="64">
        <f t="shared" si="133"/>
        <v>0.26405839416058391</v>
      </c>
      <c r="IC33" s="64">
        <f t="shared" si="134"/>
        <v>8.6159529602595264E-2</v>
      </c>
      <c r="ID33" s="64">
        <f t="shared" si="135"/>
        <v>4.1573479318734764E-2</v>
      </c>
      <c r="IE33" s="64">
        <f t="shared" si="136"/>
        <v>7.267499999999999E-2</v>
      </c>
      <c r="IF33" s="64">
        <f t="shared" si="137"/>
        <v>1.770288461538462E-2</v>
      </c>
      <c r="IG33" s="64">
        <f t="shared" si="138"/>
        <v>5.6524999999999735E-3</v>
      </c>
      <c r="IH33" s="280">
        <f t="shared" si="139"/>
        <v>2.3772799999999983E-2</v>
      </c>
      <c r="II33" s="64"/>
      <c r="IJ33" s="89">
        <v>2043</v>
      </c>
      <c r="IK33" s="278">
        <f t="shared" si="140"/>
        <v>1.0266666666666666</v>
      </c>
      <c r="IM33" s="278">
        <f t="shared" si="141"/>
        <v>0.42372767896936825</v>
      </c>
      <c r="IN33" s="278">
        <f t="shared" si="142"/>
        <v>0.05</v>
      </c>
      <c r="IO33" s="64">
        <v>0</v>
      </c>
      <c r="IP33" s="64">
        <f t="shared" si="143"/>
        <v>9.1344399999999951E-2</v>
      </c>
      <c r="IQ33" s="64">
        <f t="shared" si="144"/>
        <v>0.26405839416058391</v>
      </c>
      <c r="IR33" s="64">
        <f t="shared" si="145"/>
        <v>8.6159529602595264E-2</v>
      </c>
      <c r="IS33" s="64">
        <f t="shared" si="146"/>
        <v>4.1573479318734764E-2</v>
      </c>
      <c r="IT33" s="64">
        <f t="shared" si="147"/>
        <v>7.267499999999999E-2</v>
      </c>
      <c r="IU33" s="64">
        <f t="shared" si="148"/>
        <v>1.770288461538462E-2</v>
      </c>
      <c r="IV33" s="64">
        <f t="shared" si="149"/>
        <v>5.6524999999999735E-3</v>
      </c>
      <c r="IW33" s="280">
        <f t="shared" si="150"/>
        <v>2.3772799999999983E-2</v>
      </c>
      <c r="IX33" s="3">
        <f t="shared" si="151"/>
        <v>0.22250000000000014</v>
      </c>
      <c r="IY33">
        <f t="shared" si="36"/>
        <v>2043</v>
      </c>
      <c r="IZ33" s="3">
        <f t="shared" si="152"/>
        <v>15.118592519601975</v>
      </c>
      <c r="JA33" s="353">
        <f>HLOOKUP($JG$3,'Timing calculations'!JH$8:JT$39,26,FALSE)</f>
        <v>13.526126655499121</v>
      </c>
      <c r="JB33" s="3">
        <f t="shared" si="153"/>
        <v>23.72</v>
      </c>
      <c r="JC33" s="353">
        <f t="shared" si="154"/>
        <v>24.96842105263158</v>
      </c>
      <c r="JD33" s="418">
        <f t="shared" si="37"/>
        <v>0.22250000000000009</v>
      </c>
      <c r="JE33" s="368">
        <f t="shared" si="155"/>
        <v>11.957499999999996</v>
      </c>
      <c r="JF33" s="369">
        <f t="shared" si="156"/>
        <v>12.586842105263154</v>
      </c>
      <c r="JG33" s="363">
        <f t="shared" si="157"/>
        <v>12.280143485465498</v>
      </c>
      <c r="JH33" s="362">
        <f t="shared" si="38"/>
        <v>12.926466826805788</v>
      </c>
      <c r="JI33" s="366">
        <f t="shared" si="39"/>
        <v>12.849820322724165</v>
      </c>
      <c r="JJ33" s="367">
        <f t="shared" si="9"/>
        <v>13.526126655499121</v>
      </c>
      <c r="JK33" s="363">
        <f t="shared" si="40"/>
        <v>13.419497159982832</v>
      </c>
      <c r="JL33" s="362">
        <f t="shared" si="41"/>
        <v>14.125786484192455</v>
      </c>
      <c r="JM33" s="366">
        <f t="shared" si="158"/>
        <v>13.989173997241503</v>
      </c>
      <c r="JN33" s="367">
        <f t="shared" si="42"/>
        <v>14.725446312885794</v>
      </c>
      <c r="JO33" s="363">
        <f t="shared" si="159"/>
        <v>14.55885083450017</v>
      </c>
      <c r="JP33" s="362">
        <f t="shared" si="43"/>
        <v>15.325106141579127</v>
      </c>
      <c r="JQ33" s="366">
        <f t="shared" si="160"/>
        <v>14.838721677051074</v>
      </c>
      <c r="JR33" s="367">
        <f t="shared" si="44"/>
        <v>15.619707028474815</v>
      </c>
      <c r="JS33" s="363">
        <f t="shared" si="161"/>
        <v>15.118592519601975</v>
      </c>
      <c r="JT33" s="362">
        <f t="shared" si="45"/>
        <v>15.9143079153705</v>
      </c>
      <c r="JV33" t="s">
        <v>261</v>
      </c>
    </row>
    <row r="34" spans="1:282">
      <c r="A34" s="247" t="s">
        <v>291</v>
      </c>
      <c r="B34" s="247"/>
      <c r="C34" s="247"/>
      <c r="D34" s="247"/>
      <c r="E34" s="247"/>
      <c r="F34" s="247"/>
      <c r="AO34" s="89">
        <v>2044</v>
      </c>
      <c r="AP34" s="170">
        <f t="shared" si="185"/>
        <v>-2.3039999999999998E-2</v>
      </c>
      <c r="AQ34" s="170">
        <f t="shared" si="185"/>
        <v>-5.5000000000000032E-3</v>
      </c>
      <c r="AR34" s="170">
        <f t="shared" si="185"/>
        <v>-1.7307692307692305E-2</v>
      </c>
      <c r="AS34" s="170">
        <f t="shared" si="185"/>
        <v>-6.7500000000000004E-2</v>
      </c>
      <c r="AU34" s="170">
        <f t="shared" si="186"/>
        <v>-4.0291970802919699E-2</v>
      </c>
      <c r="AV34" s="170">
        <f t="shared" si="186"/>
        <v>-8.3503649635036536E-2</v>
      </c>
      <c r="AW34" s="170">
        <f t="shared" si="186"/>
        <v>-0.24525547445255474</v>
      </c>
      <c r="AY34" s="170">
        <f t="shared" si="164"/>
        <v>-8.4839999999999971E-2</v>
      </c>
      <c r="AZ34" s="278">
        <f t="shared" si="165"/>
        <v>8.4839999999999968E-3</v>
      </c>
      <c r="BA34" s="284">
        <f t="shared" si="166"/>
        <v>-3.5002180591304326E-2</v>
      </c>
      <c r="BB34" s="276">
        <f t="shared" si="167"/>
        <v>-3.8794749913043457E-2</v>
      </c>
      <c r="BC34" s="277">
        <f t="shared" si="10"/>
        <v>-3.5002180591304326E-2</v>
      </c>
      <c r="BD34" s="278">
        <f t="shared" si="168"/>
        <v>8.4839999999999968E-3</v>
      </c>
      <c r="BE34" s="284">
        <f t="shared" si="169"/>
        <v>-3.5002180591304367E-2</v>
      </c>
      <c r="BF34" s="276">
        <f t="shared" si="170"/>
        <v>-3.8794749913043457E-2</v>
      </c>
      <c r="BG34" s="277">
        <f t="shared" si="11"/>
        <v>-3.5002180591304367E-2</v>
      </c>
      <c r="BH34" s="278">
        <f t="shared" si="171"/>
        <v>1.6967999999999994E-2</v>
      </c>
      <c r="BI34" s="284">
        <f t="shared" si="172"/>
        <v>-7.0004361182608721E-2</v>
      </c>
      <c r="BJ34" s="276">
        <f t="shared" si="173"/>
        <v>-7.7589499826087024E-2</v>
      </c>
      <c r="BK34" s="277">
        <f t="shared" si="12"/>
        <v>-7.0004361182608721E-2</v>
      </c>
      <c r="BL34" s="278">
        <f t="shared" si="174"/>
        <v>1.6967999999999994E-2</v>
      </c>
      <c r="BM34" s="284">
        <f t="shared" si="175"/>
        <v>-7.0004361182608679E-2</v>
      </c>
      <c r="BN34" s="276">
        <f t="shared" si="176"/>
        <v>-7.7589499826086886E-2</v>
      </c>
      <c r="BO34" s="277">
        <f t="shared" si="13"/>
        <v>-7.0004361182608679E-2</v>
      </c>
      <c r="BP34" s="278">
        <f t="shared" si="177"/>
        <v>1.6967999999999994E-2</v>
      </c>
      <c r="BQ34" s="284">
        <f t="shared" si="178"/>
        <v>-7.0004361182608735E-2</v>
      </c>
      <c r="BR34" s="276">
        <f t="shared" si="179"/>
        <v>-7.7589499826086997E-2</v>
      </c>
      <c r="BS34" s="277">
        <f t="shared" si="14"/>
        <v>-7.0004361182608735E-2</v>
      </c>
      <c r="BT34" s="278">
        <f t="shared" si="180"/>
        <v>1.6967999999999994E-2</v>
      </c>
      <c r="BU34" s="284">
        <f t="shared" si="181"/>
        <v>-7.0004361182608679E-2</v>
      </c>
      <c r="BV34" s="276">
        <f t="shared" si="182"/>
        <v>-7.7589499826086941E-2</v>
      </c>
      <c r="BW34" s="278">
        <f t="shared" si="15"/>
        <v>-7.0004361182608679E-2</v>
      </c>
      <c r="BX34" s="391">
        <f t="shared" si="46"/>
        <v>-1.6968E-2</v>
      </c>
      <c r="BY34" s="392">
        <f t="shared" si="47"/>
        <v>-0.28001744473043483</v>
      </c>
      <c r="BZ34" s="278"/>
      <c r="CB34" s="279">
        <f t="shared" si="183"/>
        <v>-0.5672387871982032</v>
      </c>
      <c r="CC34" s="64">
        <f t="shared" si="17"/>
        <v>-0.59375696778950748</v>
      </c>
      <c r="CD34" s="64">
        <f t="shared" si="18"/>
        <v>-0.62027514838081177</v>
      </c>
      <c r="CE34" s="64">
        <f t="shared" si="19"/>
        <v>-0.67331150956342056</v>
      </c>
      <c r="CF34" s="64">
        <f t="shared" si="20"/>
        <v>-0.72634787074602924</v>
      </c>
      <c r="CG34" s="64">
        <f t="shared" si="21"/>
        <v>-0.77938423192863804</v>
      </c>
      <c r="CH34" s="64">
        <f t="shared" si="22"/>
        <v>-0.83242059311124672</v>
      </c>
      <c r="CI34">
        <v>2044</v>
      </c>
      <c r="CJ34" s="240"/>
      <c r="CL34">
        <v>2044</v>
      </c>
      <c r="CM34" s="3">
        <f t="shared" si="48"/>
        <v>0.95</v>
      </c>
      <c r="CN34" s="64">
        <f t="shared" si="23"/>
        <v>0.92696000000000001</v>
      </c>
      <c r="CO34" s="64">
        <f t="shared" si="23"/>
        <v>0.92146000000000006</v>
      </c>
      <c r="CP34" s="64">
        <f t="shared" si="23"/>
        <v>0.9041523076923077</v>
      </c>
      <c r="CQ34" s="64">
        <f t="shared" si="23"/>
        <v>0.8366523076923077</v>
      </c>
      <c r="CR34" s="64">
        <f t="shared" si="24"/>
        <v>0.79636033688938801</v>
      </c>
      <c r="CS34" s="64">
        <f t="shared" si="24"/>
        <v>0.71285668725435147</v>
      </c>
      <c r="CT34" s="64">
        <f t="shared" si="24"/>
        <v>0.46760121280179673</v>
      </c>
      <c r="CU34" s="64">
        <f t="shared" si="25"/>
        <v>0.38276121280179676</v>
      </c>
      <c r="CV34" s="64">
        <f t="shared" si="25"/>
        <v>0.39124521280179675</v>
      </c>
      <c r="CW34" s="65">
        <f t="shared" si="49"/>
        <v>0.35624303221049242</v>
      </c>
      <c r="CX34" s="64">
        <f t="shared" si="50"/>
        <v>0.39972921280179674</v>
      </c>
      <c r="CY34" s="65">
        <f t="shared" si="51"/>
        <v>0.32972485161918802</v>
      </c>
      <c r="CZ34" s="64">
        <f t="shared" si="52"/>
        <v>0.41669721280179672</v>
      </c>
      <c r="DA34" s="65">
        <f t="shared" si="53"/>
        <v>0.27668849043657928</v>
      </c>
      <c r="DB34" s="64">
        <f t="shared" si="54"/>
        <v>0.43366521280179671</v>
      </c>
      <c r="DC34" s="65">
        <f t="shared" si="55"/>
        <v>0.2236521292539706</v>
      </c>
      <c r="DD34" s="64">
        <f t="shared" si="56"/>
        <v>0.45063321280179669</v>
      </c>
      <c r="DE34" s="65">
        <f t="shared" si="57"/>
        <v>0.17061576807136186</v>
      </c>
      <c r="DF34" s="64">
        <f t="shared" si="58"/>
        <v>0.46760121280179667</v>
      </c>
      <c r="DG34" s="65">
        <f t="shared" si="59"/>
        <v>0.11757940688875317</v>
      </c>
      <c r="DL34">
        <v>2044</v>
      </c>
      <c r="DM34" s="64">
        <f t="shared" si="60"/>
        <v>0.11757940688875317</v>
      </c>
      <c r="DN34" s="64">
        <f t="shared" si="61"/>
        <v>0.17061576807136186</v>
      </c>
      <c r="DO34" s="64">
        <f t="shared" si="62"/>
        <v>0.2236521292539706</v>
      </c>
      <c r="DP34" s="64">
        <f t="shared" si="63"/>
        <v>0.27668849043657928</v>
      </c>
      <c r="DQ34" s="64">
        <f t="shared" si="64"/>
        <v>0.32972485161918802</v>
      </c>
      <c r="DR34" s="64">
        <f t="shared" si="65"/>
        <v>0.35624303221049242</v>
      </c>
      <c r="DS34" s="64">
        <f t="shared" si="26"/>
        <v>0.38276121280179676</v>
      </c>
      <c r="DT34" s="64">
        <f t="shared" si="27"/>
        <v>0.46760121280179673</v>
      </c>
      <c r="DU34" s="64">
        <f t="shared" si="28"/>
        <v>0.71285668725435147</v>
      </c>
      <c r="DV34" s="64">
        <f t="shared" si="29"/>
        <v>0.79636033688938801</v>
      </c>
      <c r="DW34" s="64">
        <f t="shared" si="30"/>
        <v>0.8366523076923077</v>
      </c>
      <c r="DX34" s="64">
        <f t="shared" si="31"/>
        <v>0.9041523076923077</v>
      </c>
      <c r="DY34" s="64">
        <f t="shared" si="32"/>
        <v>0.92146000000000006</v>
      </c>
      <c r="DZ34" s="64">
        <f t="shared" si="33"/>
        <v>0.92696000000000001</v>
      </c>
      <c r="EA34" s="3">
        <f t="shared" si="66"/>
        <v>0.95</v>
      </c>
      <c r="EB34">
        <v>2044</v>
      </c>
      <c r="EC34" s="269">
        <f t="shared" si="67"/>
        <v>0.11757940688875312</v>
      </c>
      <c r="ED34" s="269">
        <f t="shared" si="68"/>
        <v>0.05</v>
      </c>
      <c r="EE34" s="64">
        <f t="shared" si="184"/>
        <v>5.3036361182608696E-2</v>
      </c>
      <c r="EF34" s="64">
        <f t="shared" si="184"/>
        <v>5.3036361182608738E-2</v>
      </c>
      <c r="EG34" s="64">
        <f t="shared" si="184"/>
        <v>5.3036361182608682E-2</v>
      </c>
      <c r="EH34" s="64">
        <f t="shared" si="184"/>
        <v>5.3036361182608738E-2</v>
      </c>
      <c r="EI34" s="64">
        <f t="shared" si="184"/>
        <v>2.6518180591304397E-2</v>
      </c>
      <c r="EJ34" s="64">
        <f t="shared" si="184"/>
        <v>2.6518180591304341E-2</v>
      </c>
      <c r="EK34" s="64">
        <f t="shared" si="184"/>
        <v>8.4839999999999971E-2</v>
      </c>
      <c r="EL34" s="64">
        <f t="shared" si="184"/>
        <v>0.24525547445255474</v>
      </c>
      <c r="EM34" s="64">
        <f t="shared" si="184"/>
        <v>8.3503649635036536E-2</v>
      </c>
      <c r="EN34" s="64">
        <f t="shared" si="184"/>
        <v>4.0291970802919685E-2</v>
      </c>
      <c r="EO34" s="64">
        <f t="shared" si="184"/>
        <v>6.7500000000000004E-2</v>
      </c>
      <c r="EP34" s="64">
        <f t="shared" si="184"/>
        <v>1.7307692307692357E-2</v>
      </c>
      <c r="EQ34" s="64">
        <f t="shared" si="184"/>
        <v>5.4999999999999494E-3</v>
      </c>
      <c r="ER34" s="64">
        <f t="shared" si="184"/>
        <v>2.3039999999999949E-2</v>
      </c>
      <c r="EX34" s="89">
        <v>2044</v>
      </c>
      <c r="EY34" s="278">
        <f t="shared" si="69"/>
        <v>1.03</v>
      </c>
      <c r="EZ34" s="278"/>
      <c r="FA34" s="278">
        <f t="shared" si="70"/>
        <v>0.13098575943985336</v>
      </c>
      <c r="FB34" s="278">
        <f t="shared" si="35"/>
        <v>0.05</v>
      </c>
      <c r="FC34" s="64">
        <f t="shared" si="71"/>
        <v>0.37802355038608709</v>
      </c>
      <c r="FD34" s="64">
        <f t="shared" si="72"/>
        <v>7.4940054162198087E-18</v>
      </c>
      <c r="FE34" s="64">
        <f t="shared" si="73"/>
        <v>0.26487591240875918</v>
      </c>
      <c r="FF34" s="64">
        <f t="shared" si="74"/>
        <v>9.0183941605839479E-2</v>
      </c>
      <c r="FG34" s="64">
        <f t="shared" si="75"/>
        <v>4.3515328467153273E-2</v>
      </c>
      <c r="FH34" s="64">
        <f t="shared" si="76"/>
        <v>7.290000000000002E-2</v>
      </c>
      <c r="FI34" s="64">
        <f t="shared" si="77"/>
        <v>1.8692307692307751E-2</v>
      </c>
      <c r="FJ34" s="64">
        <f t="shared" si="78"/>
        <v>5.9399999999999471E-3</v>
      </c>
      <c r="FK34" s="280">
        <f t="shared" si="79"/>
        <v>2.4883199999999953E-2</v>
      </c>
      <c r="FL34" s="64"/>
      <c r="FM34" s="89">
        <v>2044</v>
      </c>
      <c r="FN34" s="278">
        <f t="shared" si="80"/>
        <v>1.03</v>
      </c>
      <c r="FP34" s="278">
        <f t="shared" si="81"/>
        <v>0.18826502951707069</v>
      </c>
      <c r="FQ34" s="278">
        <f t="shared" si="82"/>
        <v>0.05</v>
      </c>
      <c r="FR34" s="64">
        <f t="shared" si="83"/>
        <v>0.30241884030886967</v>
      </c>
      <c r="FS34" s="64">
        <f t="shared" si="84"/>
        <v>1.8325440000000005E-2</v>
      </c>
      <c r="FT34" s="64">
        <f t="shared" si="85"/>
        <v>0.26487591240875918</v>
      </c>
      <c r="FU34" s="64">
        <f t="shared" si="86"/>
        <v>9.0183941605839479E-2</v>
      </c>
      <c r="FV34" s="64">
        <f t="shared" si="87"/>
        <v>4.3515328467153273E-2</v>
      </c>
      <c r="FW34" s="64">
        <f t="shared" si="88"/>
        <v>7.290000000000002E-2</v>
      </c>
      <c r="FX34" s="64">
        <f t="shared" si="89"/>
        <v>1.8692307692307751E-2</v>
      </c>
      <c r="FY34" s="64">
        <f t="shared" si="90"/>
        <v>5.9399999999999471E-3</v>
      </c>
      <c r="FZ34" s="280">
        <f t="shared" si="91"/>
        <v>2.4883199999999953E-2</v>
      </c>
      <c r="GA34" s="64"/>
      <c r="GB34" s="89">
        <v>2044</v>
      </c>
      <c r="GC34" s="278">
        <f t="shared" si="92"/>
        <v>1.03</v>
      </c>
      <c r="GE34" s="278">
        <f t="shared" si="93"/>
        <v>0.24554429959428825</v>
      </c>
      <c r="GF34" s="278">
        <f t="shared" si="94"/>
        <v>0.05</v>
      </c>
      <c r="GG34" s="64">
        <f t="shared" si="95"/>
        <v>0.22681413023165226</v>
      </c>
      <c r="GH34" s="64">
        <f t="shared" si="96"/>
        <v>3.6650880000000004E-2</v>
      </c>
      <c r="GI34" s="64">
        <f t="shared" si="97"/>
        <v>0.26487591240875918</v>
      </c>
      <c r="GJ34" s="64">
        <f t="shared" si="98"/>
        <v>9.0183941605839479E-2</v>
      </c>
      <c r="GK34" s="64">
        <f t="shared" si="99"/>
        <v>4.3515328467153273E-2</v>
      </c>
      <c r="GL34" s="64">
        <f t="shared" si="100"/>
        <v>7.290000000000002E-2</v>
      </c>
      <c r="GM34" s="64">
        <f t="shared" si="101"/>
        <v>1.8692307692307751E-2</v>
      </c>
      <c r="GN34" s="64">
        <f t="shared" si="102"/>
        <v>5.9399999999999471E-3</v>
      </c>
      <c r="GO34" s="280">
        <f t="shared" si="103"/>
        <v>2.4883199999999953E-2</v>
      </c>
      <c r="GP34" s="64"/>
      <c r="GQ34" s="89">
        <v>2044</v>
      </c>
      <c r="GR34" s="278">
        <f t="shared" si="104"/>
        <v>1.03</v>
      </c>
      <c r="GT34" s="278">
        <f t="shared" si="105"/>
        <v>0.30282356967150559</v>
      </c>
      <c r="GU34" s="278">
        <f t="shared" si="106"/>
        <v>0.05</v>
      </c>
      <c r="GV34" s="64">
        <f t="shared" si="107"/>
        <v>0.15120942015443484</v>
      </c>
      <c r="GW34" s="64">
        <f t="shared" si="108"/>
        <v>5.4976320000000002E-2</v>
      </c>
      <c r="GX34" s="64">
        <f t="shared" si="109"/>
        <v>0.26487591240875918</v>
      </c>
      <c r="GY34" s="64">
        <f t="shared" si="110"/>
        <v>9.0183941605839479E-2</v>
      </c>
      <c r="GZ34" s="64">
        <f t="shared" si="111"/>
        <v>4.3515328467153273E-2</v>
      </c>
      <c r="HA34" s="64">
        <f t="shared" si="112"/>
        <v>7.290000000000002E-2</v>
      </c>
      <c r="HB34" s="64">
        <f t="shared" si="113"/>
        <v>1.8692307692307751E-2</v>
      </c>
      <c r="HC34" s="64">
        <f t="shared" si="114"/>
        <v>5.9399999999999471E-3</v>
      </c>
      <c r="HD34" s="280">
        <f t="shared" si="115"/>
        <v>2.4883199999999953E-2</v>
      </c>
      <c r="HE34" s="64"/>
      <c r="HF34" s="89">
        <v>2044</v>
      </c>
      <c r="HG34" s="278">
        <f t="shared" si="116"/>
        <v>1.03</v>
      </c>
      <c r="HI34" s="278">
        <f t="shared" si="117"/>
        <v>0.36010283974872292</v>
      </c>
      <c r="HJ34" s="278">
        <f t="shared" si="118"/>
        <v>0.05</v>
      </c>
      <c r="HK34" s="64">
        <f t="shared" si="119"/>
        <v>7.5604710077217405E-2</v>
      </c>
      <c r="HL34" s="64">
        <f t="shared" si="120"/>
        <v>7.3301760000000007E-2</v>
      </c>
      <c r="HM34" s="64">
        <f t="shared" si="121"/>
        <v>0.26487591240875918</v>
      </c>
      <c r="HN34" s="64">
        <f t="shared" si="122"/>
        <v>9.0183941605839479E-2</v>
      </c>
      <c r="HO34" s="64">
        <f t="shared" si="123"/>
        <v>4.3515328467153273E-2</v>
      </c>
      <c r="HP34" s="64">
        <f t="shared" si="124"/>
        <v>7.290000000000002E-2</v>
      </c>
      <c r="HQ34" s="64">
        <f t="shared" si="125"/>
        <v>1.8692307692307751E-2</v>
      </c>
      <c r="HR34" s="64">
        <f t="shared" si="126"/>
        <v>5.9399999999999471E-3</v>
      </c>
      <c r="HS34" s="280">
        <f t="shared" si="127"/>
        <v>2.4883199999999953E-2</v>
      </c>
      <c r="HT34" s="64"/>
      <c r="HU34" s="89">
        <v>2044</v>
      </c>
      <c r="HV34" s="278">
        <f t="shared" si="128"/>
        <v>1.03</v>
      </c>
      <c r="HX34" s="278">
        <f t="shared" si="129"/>
        <v>0.38874247478733159</v>
      </c>
      <c r="HY34" s="278">
        <f t="shared" si="130"/>
        <v>0.05</v>
      </c>
      <c r="HZ34" s="64">
        <f t="shared" si="131"/>
        <v>3.7802355038608682E-2</v>
      </c>
      <c r="IA34" s="64">
        <f t="shared" si="132"/>
        <v>8.2464480000000007E-2</v>
      </c>
      <c r="IB34" s="64">
        <f t="shared" si="133"/>
        <v>0.26487591240875918</v>
      </c>
      <c r="IC34" s="64">
        <f t="shared" si="134"/>
        <v>9.0183941605839479E-2</v>
      </c>
      <c r="ID34" s="64">
        <f t="shared" si="135"/>
        <v>4.3515328467153273E-2</v>
      </c>
      <c r="IE34" s="64">
        <f t="shared" si="136"/>
        <v>7.290000000000002E-2</v>
      </c>
      <c r="IF34" s="64">
        <f t="shared" si="137"/>
        <v>1.8692307692307751E-2</v>
      </c>
      <c r="IG34" s="64">
        <f t="shared" si="138"/>
        <v>5.9399999999999471E-3</v>
      </c>
      <c r="IH34" s="280">
        <f t="shared" si="139"/>
        <v>2.4883199999999953E-2</v>
      </c>
      <c r="II34" s="64"/>
      <c r="IJ34" s="89">
        <v>2044</v>
      </c>
      <c r="IK34" s="278">
        <f t="shared" si="140"/>
        <v>1.03</v>
      </c>
      <c r="IM34" s="278">
        <f t="shared" si="141"/>
        <v>0.41738210982594026</v>
      </c>
      <c r="IN34" s="278">
        <f t="shared" si="142"/>
        <v>0.05</v>
      </c>
      <c r="IO34" s="64">
        <v>0</v>
      </c>
      <c r="IP34" s="64">
        <f t="shared" si="143"/>
        <v>9.1627199999999992E-2</v>
      </c>
      <c r="IQ34" s="64">
        <f t="shared" si="144"/>
        <v>0.26487591240875918</v>
      </c>
      <c r="IR34" s="64">
        <f t="shared" si="145"/>
        <v>9.0183941605839479E-2</v>
      </c>
      <c r="IS34" s="64">
        <f t="shared" si="146"/>
        <v>4.3515328467153273E-2</v>
      </c>
      <c r="IT34" s="64">
        <f t="shared" si="147"/>
        <v>7.290000000000002E-2</v>
      </c>
      <c r="IU34" s="64">
        <f t="shared" si="148"/>
        <v>1.8692307692307751E-2</v>
      </c>
      <c r="IV34" s="64">
        <f t="shared" si="149"/>
        <v>5.9399999999999471E-3</v>
      </c>
      <c r="IW34" s="280">
        <f t="shared" si="150"/>
        <v>2.4883199999999953E-2</v>
      </c>
      <c r="IX34" s="3">
        <f t="shared" si="151"/>
        <v>0.20500000000000007</v>
      </c>
      <c r="IY34">
        <f t="shared" si="36"/>
        <v>2044</v>
      </c>
      <c r="IZ34" s="3">
        <f t="shared" si="152"/>
        <v>15.535974629427916</v>
      </c>
      <c r="JA34" s="353">
        <f>HLOOKUP($JG$3,'Timing calculations'!JH$8:JT$39,27,FALSE)</f>
        <v>13.724300370780249</v>
      </c>
      <c r="JB34" s="3">
        <f t="shared" si="153"/>
        <v>24.75</v>
      </c>
      <c r="JC34" s="353">
        <f t="shared" si="154"/>
        <v>26.05263157894737</v>
      </c>
      <c r="JD34" s="418">
        <f t="shared" si="37"/>
        <v>0.2050000000000001</v>
      </c>
      <c r="JE34" s="368">
        <f t="shared" si="155"/>
        <v>12.162499999999996</v>
      </c>
      <c r="JF34" s="369">
        <f t="shared" si="156"/>
        <v>12.802631578947365</v>
      </c>
      <c r="JG34" s="363">
        <f t="shared" si="157"/>
        <v>12.411129244905352</v>
      </c>
      <c r="JH34" s="362">
        <f t="shared" si="38"/>
        <v>13.064346573584581</v>
      </c>
      <c r="JI34" s="366">
        <f t="shared" si="39"/>
        <v>13.038085352241236</v>
      </c>
      <c r="JJ34" s="367">
        <f t="shared" si="9"/>
        <v>13.724300370780249</v>
      </c>
      <c r="JK34" s="363">
        <f t="shared" si="40"/>
        <v>13.66504145957712</v>
      </c>
      <c r="JL34" s="362">
        <f t="shared" si="41"/>
        <v>14.384254167975916</v>
      </c>
      <c r="JM34" s="366">
        <f t="shared" si="158"/>
        <v>14.291997566913007</v>
      </c>
      <c r="JN34" s="367">
        <f t="shared" si="42"/>
        <v>15.044207965171587</v>
      </c>
      <c r="JO34" s="363">
        <f t="shared" si="159"/>
        <v>14.918953674248893</v>
      </c>
      <c r="JP34" s="362">
        <f t="shared" si="43"/>
        <v>15.704161762367256</v>
      </c>
      <c r="JQ34" s="366">
        <f t="shared" si="160"/>
        <v>15.227464151838406</v>
      </c>
      <c r="JR34" s="367">
        <f t="shared" si="44"/>
        <v>16.028909633514111</v>
      </c>
      <c r="JS34" s="363">
        <f t="shared" si="161"/>
        <v>15.535974629427916</v>
      </c>
      <c r="JT34" s="362">
        <f t="shared" si="45"/>
        <v>16.353657504660966</v>
      </c>
    </row>
    <row r="35" spans="1:282" ht="29" customHeight="1">
      <c r="A35" s="262">
        <f>'1 StrategyMix for CarbonTargets'!V46</f>
        <v>0.8</v>
      </c>
      <c r="B35" s="247"/>
      <c r="C35" s="247"/>
      <c r="D35" s="247"/>
      <c r="E35" s="247"/>
      <c r="F35" s="247"/>
      <c r="G35" s="710" t="s">
        <v>177</v>
      </c>
      <c r="H35" s="710"/>
      <c r="I35" s="710"/>
      <c r="J35" s="710"/>
      <c r="K35" s="9"/>
      <c r="M35" s="710" t="s">
        <v>178</v>
      </c>
      <c r="N35" s="710"/>
      <c r="O35" s="710"/>
      <c r="P35" s="710"/>
      <c r="Q35" s="710"/>
      <c r="AO35" s="89">
        <v>2045</v>
      </c>
      <c r="AP35" s="170">
        <f t="shared" si="185"/>
        <v>-2.3999999999999997E-2</v>
      </c>
      <c r="AQ35" s="170">
        <f t="shared" si="185"/>
        <v>-5.7500000000000034E-3</v>
      </c>
      <c r="AR35" s="170">
        <f t="shared" si="185"/>
        <v>-1.817307692307692E-2</v>
      </c>
      <c r="AS35" s="170">
        <f t="shared" si="185"/>
        <v>-6.7500000000000004E-2</v>
      </c>
      <c r="AU35" s="170">
        <f t="shared" si="186"/>
        <v>-4.197080291970802E-2</v>
      </c>
      <c r="AV35" s="170">
        <f t="shared" si="186"/>
        <v>-8.698296836982973E-2</v>
      </c>
      <c r="AW35" s="170">
        <f t="shared" si="186"/>
        <v>-0.24525547445255474</v>
      </c>
      <c r="AY35" s="170">
        <f t="shared" si="164"/>
        <v>-8.4839999999999971E-2</v>
      </c>
      <c r="AZ35" s="278">
        <f t="shared" si="165"/>
        <v>8.4839999999999968E-3</v>
      </c>
      <c r="BA35" s="284">
        <f t="shared" si="166"/>
        <v>-3.5634275478260848E-2</v>
      </c>
      <c r="BB35" s="276">
        <f t="shared" si="167"/>
        <v>-3.8794749913043457E-2</v>
      </c>
      <c r="BC35" s="277">
        <f t="shared" si="10"/>
        <v>-3.5634275478260848E-2</v>
      </c>
      <c r="BD35" s="278">
        <f t="shared" si="168"/>
        <v>8.4839999999999968E-3</v>
      </c>
      <c r="BE35" s="284">
        <f t="shared" si="169"/>
        <v>-3.5634275478260889E-2</v>
      </c>
      <c r="BF35" s="276">
        <f t="shared" si="170"/>
        <v>-3.8794749913043457E-2</v>
      </c>
      <c r="BG35" s="277">
        <f t="shared" si="11"/>
        <v>-3.5634275478260889E-2</v>
      </c>
      <c r="BH35" s="278">
        <f t="shared" si="171"/>
        <v>1.6967999999999994E-2</v>
      </c>
      <c r="BI35" s="284">
        <f t="shared" si="172"/>
        <v>-7.1268550956521765E-2</v>
      </c>
      <c r="BJ35" s="276">
        <f t="shared" si="173"/>
        <v>-7.7589499826087024E-2</v>
      </c>
      <c r="BK35" s="277">
        <f t="shared" si="12"/>
        <v>-7.1268550956521765E-2</v>
      </c>
      <c r="BL35" s="278">
        <f t="shared" si="174"/>
        <v>1.6967999999999994E-2</v>
      </c>
      <c r="BM35" s="284">
        <f t="shared" si="175"/>
        <v>-7.1268550956521723E-2</v>
      </c>
      <c r="BN35" s="276">
        <f t="shared" si="176"/>
        <v>-7.7589499826086886E-2</v>
      </c>
      <c r="BO35" s="277">
        <f t="shared" si="13"/>
        <v>-7.1268550956521723E-2</v>
      </c>
      <c r="BP35" s="278">
        <f t="shared" si="177"/>
        <v>1.6967999999999994E-2</v>
      </c>
      <c r="BQ35" s="284">
        <f t="shared" si="178"/>
        <v>-7.1268550956521778E-2</v>
      </c>
      <c r="BR35" s="276">
        <f t="shared" si="179"/>
        <v>-7.7589499826086997E-2</v>
      </c>
      <c r="BS35" s="277">
        <f t="shared" si="14"/>
        <v>-7.1268550956521778E-2</v>
      </c>
      <c r="BT35" s="278">
        <f t="shared" si="180"/>
        <v>1.6967999999999994E-2</v>
      </c>
      <c r="BU35" s="284">
        <f t="shared" si="181"/>
        <v>-7.1268550956521723E-2</v>
      </c>
      <c r="BV35" s="276">
        <f t="shared" si="182"/>
        <v>-7.7589499826086941E-2</v>
      </c>
      <c r="BW35" s="278">
        <f t="shared" si="15"/>
        <v>-7.1268550956521723E-2</v>
      </c>
      <c r="BX35" s="391">
        <f t="shared" si="46"/>
        <v>-1.6968E-2</v>
      </c>
      <c r="BY35" s="392">
        <f t="shared" si="47"/>
        <v>-0.285074203826087</v>
      </c>
      <c r="BZ35" s="278"/>
      <c r="CB35" s="279">
        <f t="shared" si="183"/>
        <v>-0.57447232266516934</v>
      </c>
      <c r="CC35" s="64">
        <f t="shared" si="17"/>
        <v>-0.60162259814343011</v>
      </c>
      <c r="CD35" s="64">
        <f t="shared" si="18"/>
        <v>-0.62877287362169099</v>
      </c>
      <c r="CE35" s="64">
        <f t="shared" si="19"/>
        <v>-0.68307342457821274</v>
      </c>
      <c r="CF35" s="64">
        <f t="shared" si="20"/>
        <v>-0.73737397553473449</v>
      </c>
      <c r="CG35" s="64">
        <f t="shared" si="21"/>
        <v>-0.79167452649125625</v>
      </c>
      <c r="CH35" s="64">
        <f t="shared" si="22"/>
        <v>-0.845975077447778</v>
      </c>
      <c r="CI35">
        <v>2045</v>
      </c>
      <c r="CJ35" s="240"/>
      <c r="CL35">
        <v>2045</v>
      </c>
      <c r="CM35" s="3">
        <f t="shared" si="48"/>
        <v>0.95</v>
      </c>
      <c r="CN35" s="64">
        <f t="shared" si="23"/>
        <v>0.92599999999999993</v>
      </c>
      <c r="CO35" s="64">
        <f t="shared" si="23"/>
        <v>0.9202499999999999</v>
      </c>
      <c r="CP35" s="64">
        <f t="shared" si="23"/>
        <v>0.902076923076923</v>
      </c>
      <c r="CQ35" s="64">
        <f t="shared" si="23"/>
        <v>0.83457692307692299</v>
      </c>
      <c r="CR35" s="64">
        <f t="shared" si="24"/>
        <v>0.79260612015721499</v>
      </c>
      <c r="CS35" s="64">
        <f t="shared" si="24"/>
        <v>0.70562315178738522</v>
      </c>
      <c r="CT35" s="64">
        <f t="shared" si="24"/>
        <v>0.46036767733483047</v>
      </c>
      <c r="CU35" s="64">
        <f t="shared" si="25"/>
        <v>0.3755276773348305</v>
      </c>
      <c r="CV35" s="64">
        <f t="shared" si="25"/>
        <v>0.38401167733483049</v>
      </c>
      <c r="CW35" s="65">
        <f t="shared" si="49"/>
        <v>0.34837740185656962</v>
      </c>
      <c r="CX35" s="64">
        <f t="shared" si="50"/>
        <v>0.39249567733483048</v>
      </c>
      <c r="CY35" s="65">
        <f t="shared" si="51"/>
        <v>0.32122712637830875</v>
      </c>
      <c r="CZ35" s="64">
        <f t="shared" si="52"/>
        <v>0.40946367733483047</v>
      </c>
      <c r="DA35" s="65">
        <f t="shared" si="53"/>
        <v>0.26692657542178699</v>
      </c>
      <c r="DB35" s="64">
        <f t="shared" si="54"/>
        <v>0.42643167733483045</v>
      </c>
      <c r="DC35" s="65">
        <f t="shared" si="55"/>
        <v>0.21262602446526524</v>
      </c>
      <c r="DD35" s="64">
        <f t="shared" si="56"/>
        <v>0.44339967733483043</v>
      </c>
      <c r="DE35" s="65">
        <f t="shared" si="57"/>
        <v>0.15832547350874343</v>
      </c>
      <c r="DF35" s="64">
        <f t="shared" si="58"/>
        <v>0.46036767733483042</v>
      </c>
      <c r="DG35" s="65">
        <f t="shared" si="59"/>
        <v>0.10402492255222169</v>
      </c>
      <c r="DL35">
        <v>2045</v>
      </c>
      <c r="DM35" s="64">
        <f t="shared" si="60"/>
        <v>0.10402492255222169</v>
      </c>
      <c r="DN35" s="64">
        <f t="shared" si="61"/>
        <v>0.15832547350874343</v>
      </c>
      <c r="DO35" s="64">
        <f t="shared" si="62"/>
        <v>0.21262602446526524</v>
      </c>
      <c r="DP35" s="64">
        <f t="shared" si="63"/>
        <v>0.26692657542178699</v>
      </c>
      <c r="DQ35" s="64">
        <f t="shared" si="64"/>
        <v>0.32122712637830875</v>
      </c>
      <c r="DR35" s="64">
        <f t="shared" si="65"/>
        <v>0.34837740185656962</v>
      </c>
      <c r="DS35" s="64">
        <f t="shared" si="26"/>
        <v>0.3755276773348305</v>
      </c>
      <c r="DT35" s="64">
        <f t="shared" si="27"/>
        <v>0.46036767733483047</v>
      </c>
      <c r="DU35" s="64">
        <f t="shared" si="28"/>
        <v>0.70562315178738522</v>
      </c>
      <c r="DV35" s="64">
        <f t="shared" si="29"/>
        <v>0.79260612015721499</v>
      </c>
      <c r="DW35" s="64">
        <f t="shared" si="30"/>
        <v>0.83457692307692299</v>
      </c>
      <c r="DX35" s="64">
        <f t="shared" si="31"/>
        <v>0.902076923076923</v>
      </c>
      <c r="DY35" s="64">
        <f t="shared" si="32"/>
        <v>0.9202499999999999</v>
      </c>
      <c r="DZ35" s="64">
        <f t="shared" si="33"/>
        <v>0.92599999999999993</v>
      </c>
      <c r="EA35" s="3">
        <f t="shared" si="66"/>
        <v>0.95</v>
      </c>
      <c r="EB35">
        <v>2045</v>
      </c>
      <c r="EC35" s="269">
        <f t="shared" si="67"/>
        <v>0.10402492255222173</v>
      </c>
      <c r="ED35" s="269">
        <f t="shared" si="68"/>
        <v>0.05</v>
      </c>
      <c r="EE35" s="64">
        <f t="shared" si="184"/>
        <v>5.430055095652174E-2</v>
      </c>
      <c r="EF35" s="64">
        <f t="shared" si="184"/>
        <v>5.4300550956521809E-2</v>
      </c>
      <c r="EG35" s="64">
        <f t="shared" si="184"/>
        <v>5.4300550956521754E-2</v>
      </c>
      <c r="EH35" s="64">
        <f t="shared" si="184"/>
        <v>5.4300550956521754E-2</v>
      </c>
      <c r="EI35" s="64">
        <f t="shared" si="184"/>
        <v>2.7150275478260877E-2</v>
      </c>
      <c r="EJ35" s="64">
        <f t="shared" si="184"/>
        <v>2.7150275478260877E-2</v>
      </c>
      <c r="EK35" s="64">
        <f t="shared" si="184"/>
        <v>8.4839999999999971E-2</v>
      </c>
      <c r="EL35" s="64">
        <f t="shared" si="184"/>
        <v>0.24525547445255474</v>
      </c>
      <c r="EM35" s="64">
        <f t="shared" si="184"/>
        <v>8.6982968369829772E-2</v>
      </c>
      <c r="EN35" s="64">
        <f t="shared" si="184"/>
        <v>4.1970802919708006E-2</v>
      </c>
      <c r="EO35" s="64">
        <f t="shared" si="184"/>
        <v>6.7500000000000004E-2</v>
      </c>
      <c r="EP35" s="64">
        <f t="shared" si="184"/>
        <v>1.8173076923076903E-2</v>
      </c>
      <c r="EQ35" s="64">
        <f t="shared" si="184"/>
        <v>5.7500000000000329E-3</v>
      </c>
      <c r="ER35" s="64">
        <f t="shared" si="184"/>
        <v>2.4000000000000021E-2</v>
      </c>
      <c r="EX35" s="89">
        <v>2045</v>
      </c>
      <c r="EY35" s="278">
        <f t="shared" si="69"/>
        <v>1.0333333333333332</v>
      </c>
      <c r="EZ35" s="278"/>
      <c r="FA35" s="278">
        <f t="shared" si="70"/>
        <v>0.11686033276490682</v>
      </c>
      <c r="FB35" s="278">
        <f t="shared" si="35"/>
        <v>0.05</v>
      </c>
      <c r="FC35" s="64">
        <f t="shared" si="71"/>
        <v>0.3860379843478261</v>
      </c>
      <c r="FD35" s="64">
        <f t="shared" si="72"/>
        <v>7.5171350625661636E-18</v>
      </c>
      <c r="FE35" s="64">
        <f t="shared" si="73"/>
        <v>0.26569343065693429</v>
      </c>
      <c r="FF35" s="64">
        <f t="shared" si="74"/>
        <v>9.4231549067315581E-2</v>
      </c>
      <c r="FG35" s="64">
        <f t="shared" si="75"/>
        <v>4.5468369829683671E-2</v>
      </c>
      <c r="FH35" s="64">
        <f t="shared" si="76"/>
        <v>7.3124999999999996E-2</v>
      </c>
      <c r="FI35" s="64">
        <f t="shared" si="77"/>
        <v>1.9687499999999976E-2</v>
      </c>
      <c r="FJ35" s="64">
        <f t="shared" si="78"/>
        <v>6.2291666666667023E-3</v>
      </c>
      <c r="FK35" s="280">
        <f t="shared" si="79"/>
        <v>2.600000000000002E-2</v>
      </c>
      <c r="FL35" s="64"/>
      <c r="FM35" s="89">
        <v>2045</v>
      </c>
      <c r="FN35" s="278">
        <f t="shared" si="80"/>
        <v>1.0333333333333332</v>
      </c>
      <c r="FP35" s="278">
        <f t="shared" si="81"/>
        <v>0.17568592963447205</v>
      </c>
      <c r="FQ35" s="278">
        <f t="shared" si="82"/>
        <v>0.05</v>
      </c>
      <c r="FR35" s="64">
        <f t="shared" si="83"/>
        <v>0.30883038747826091</v>
      </c>
      <c r="FS35" s="64">
        <f t="shared" si="84"/>
        <v>1.8381999999999999E-2</v>
      </c>
      <c r="FT35" s="64">
        <f t="shared" si="85"/>
        <v>0.26569343065693429</v>
      </c>
      <c r="FU35" s="64">
        <f t="shared" si="86"/>
        <v>9.4231549067315581E-2</v>
      </c>
      <c r="FV35" s="64">
        <f t="shared" si="87"/>
        <v>4.5468369829683671E-2</v>
      </c>
      <c r="FW35" s="64">
        <f t="shared" si="88"/>
        <v>7.3124999999999996E-2</v>
      </c>
      <c r="FX35" s="64">
        <f t="shared" si="89"/>
        <v>1.9687499999999976E-2</v>
      </c>
      <c r="FY35" s="64">
        <f t="shared" si="90"/>
        <v>6.2291666666667023E-3</v>
      </c>
      <c r="FZ35" s="280">
        <f t="shared" si="91"/>
        <v>2.600000000000002E-2</v>
      </c>
      <c r="GA35" s="64"/>
      <c r="GB35" s="89">
        <v>2045</v>
      </c>
      <c r="GC35" s="278">
        <f t="shared" si="92"/>
        <v>1.0333333333333332</v>
      </c>
      <c r="GE35" s="278">
        <f t="shared" si="93"/>
        <v>0.23451152650403728</v>
      </c>
      <c r="GF35" s="278">
        <f t="shared" si="94"/>
        <v>0.05</v>
      </c>
      <c r="GG35" s="64">
        <f t="shared" si="95"/>
        <v>0.23162279060869562</v>
      </c>
      <c r="GH35" s="64">
        <f t="shared" si="96"/>
        <v>3.6763999999999991E-2</v>
      </c>
      <c r="GI35" s="64">
        <f t="shared" si="97"/>
        <v>0.26569343065693429</v>
      </c>
      <c r="GJ35" s="64">
        <f t="shared" si="98"/>
        <v>9.4231549067315581E-2</v>
      </c>
      <c r="GK35" s="64">
        <f t="shared" si="99"/>
        <v>4.5468369829683671E-2</v>
      </c>
      <c r="GL35" s="64">
        <f t="shared" si="100"/>
        <v>7.3124999999999996E-2</v>
      </c>
      <c r="GM35" s="64">
        <f t="shared" si="101"/>
        <v>1.9687499999999976E-2</v>
      </c>
      <c r="GN35" s="64">
        <f t="shared" si="102"/>
        <v>6.2291666666667023E-3</v>
      </c>
      <c r="GO35" s="280">
        <f t="shared" si="103"/>
        <v>2.600000000000002E-2</v>
      </c>
      <c r="GP35" s="64"/>
      <c r="GQ35" s="89">
        <v>2045</v>
      </c>
      <c r="GR35" s="278">
        <f t="shared" si="104"/>
        <v>1.0333333333333332</v>
      </c>
      <c r="GT35" s="278">
        <f t="shared" si="105"/>
        <v>0.2933371233736024</v>
      </c>
      <c r="GU35" s="278">
        <f t="shared" si="106"/>
        <v>0.05</v>
      </c>
      <c r="GV35" s="64">
        <f t="shared" si="107"/>
        <v>0.15441519373913046</v>
      </c>
      <c r="GW35" s="64">
        <f t="shared" si="108"/>
        <v>5.5145999999999987E-2</v>
      </c>
      <c r="GX35" s="64">
        <f t="shared" si="109"/>
        <v>0.26569343065693429</v>
      </c>
      <c r="GY35" s="64">
        <f t="shared" si="110"/>
        <v>9.4231549067315581E-2</v>
      </c>
      <c r="GZ35" s="64">
        <f t="shared" si="111"/>
        <v>4.5468369829683671E-2</v>
      </c>
      <c r="HA35" s="64">
        <f t="shared" si="112"/>
        <v>7.3124999999999996E-2</v>
      </c>
      <c r="HB35" s="64">
        <f t="shared" si="113"/>
        <v>1.9687499999999976E-2</v>
      </c>
      <c r="HC35" s="64">
        <f t="shared" si="114"/>
        <v>6.2291666666667023E-3</v>
      </c>
      <c r="HD35" s="280">
        <f t="shared" si="115"/>
        <v>2.600000000000002E-2</v>
      </c>
      <c r="HE35" s="64"/>
      <c r="HF35" s="89">
        <v>2045</v>
      </c>
      <c r="HG35" s="278">
        <f t="shared" si="116"/>
        <v>1.0333333333333332</v>
      </c>
      <c r="HI35" s="278">
        <f t="shared" si="117"/>
        <v>0.35216272024316775</v>
      </c>
      <c r="HJ35" s="278">
        <f t="shared" si="118"/>
        <v>0.05</v>
      </c>
      <c r="HK35" s="64">
        <f t="shared" si="119"/>
        <v>7.7207596869565215E-2</v>
      </c>
      <c r="HL35" s="64">
        <f t="shared" si="120"/>
        <v>7.3527999999999982E-2</v>
      </c>
      <c r="HM35" s="64">
        <f t="shared" si="121"/>
        <v>0.26569343065693429</v>
      </c>
      <c r="HN35" s="64">
        <f t="shared" si="122"/>
        <v>9.4231549067315581E-2</v>
      </c>
      <c r="HO35" s="64">
        <f t="shared" si="123"/>
        <v>4.5468369829683671E-2</v>
      </c>
      <c r="HP35" s="64">
        <f t="shared" si="124"/>
        <v>7.3124999999999996E-2</v>
      </c>
      <c r="HQ35" s="64">
        <f t="shared" si="125"/>
        <v>1.9687499999999976E-2</v>
      </c>
      <c r="HR35" s="64">
        <f t="shared" si="126"/>
        <v>6.2291666666667023E-3</v>
      </c>
      <c r="HS35" s="280">
        <f t="shared" si="127"/>
        <v>2.600000000000002E-2</v>
      </c>
      <c r="HT35" s="64"/>
      <c r="HU35" s="89">
        <v>2045</v>
      </c>
      <c r="HV35" s="278">
        <f t="shared" si="128"/>
        <v>1.0333333333333332</v>
      </c>
      <c r="HX35" s="278">
        <f t="shared" si="129"/>
        <v>0.38157551867795036</v>
      </c>
      <c r="HY35" s="278">
        <f t="shared" si="130"/>
        <v>0.05</v>
      </c>
      <c r="HZ35" s="64">
        <f t="shared" si="131"/>
        <v>3.860379843478258E-2</v>
      </c>
      <c r="IA35" s="64">
        <f t="shared" si="132"/>
        <v>8.2718999999999973E-2</v>
      </c>
      <c r="IB35" s="64">
        <f t="shared" si="133"/>
        <v>0.26569343065693429</v>
      </c>
      <c r="IC35" s="64">
        <f t="shared" si="134"/>
        <v>9.4231549067315581E-2</v>
      </c>
      <c r="ID35" s="64">
        <f t="shared" si="135"/>
        <v>4.5468369829683671E-2</v>
      </c>
      <c r="IE35" s="64">
        <f t="shared" si="136"/>
        <v>7.3124999999999996E-2</v>
      </c>
      <c r="IF35" s="64">
        <f t="shared" si="137"/>
        <v>1.9687499999999976E-2</v>
      </c>
      <c r="IG35" s="64">
        <f t="shared" si="138"/>
        <v>6.2291666666667023E-3</v>
      </c>
      <c r="IH35" s="280">
        <f t="shared" si="139"/>
        <v>2.600000000000002E-2</v>
      </c>
      <c r="II35" s="64"/>
      <c r="IJ35" s="89">
        <v>2045</v>
      </c>
      <c r="IK35" s="278">
        <f t="shared" si="140"/>
        <v>1.0333333333333332</v>
      </c>
      <c r="IM35" s="278">
        <f t="shared" si="141"/>
        <v>0.41098831711273298</v>
      </c>
      <c r="IN35" s="278">
        <f t="shared" si="142"/>
        <v>0.05</v>
      </c>
      <c r="IO35" s="64">
        <v>0</v>
      </c>
      <c r="IP35" s="64">
        <f t="shared" si="143"/>
        <v>9.1909999999999964E-2</v>
      </c>
      <c r="IQ35" s="64">
        <f t="shared" si="144"/>
        <v>0.26569343065693429</v>
      </c>
      <c r="IR35" s="64">
        <f t="shared" si="145"/>
        <v>9.4231549067315581E-2</v>
      </c>
      <c r="IS35" s="64">
        <f t="shared" si="146"/>
        <v>4.5468369829683671E-2</v>
      </c>
      <c r="IT35" s="64">
        <f t="shared" si="147"/>
        <v>7.3124999999999996E-2</v>
      </c>
      <c r="IU35" s="64">
        <f t="shared" si="148"/>
        <v>1.9687499999999976E-2</v>
      </c>
      <c r="IV35" s="64">
        <f t="shared" si="149"/>
        <v>6.2291666666667023E-3</v>
      </c>
      <c r="IW35" s="280">
        <f t="shared" si="150"/>
        <v>2.600000000000002E-2</v>
      </c>
      <c r="IX35" s="3">
        <f t="shared" si="151"/>
        <v>0.1875</v>
      </c>
      <c r="IY35">
        <f t="shared" si="36"/>
        <v>2045</v>
      </c>
      <c r="IZ35" s="3">
        <f t="shared" si="152"/>
        <v>15.946962946540648</v>
      </c>
      <c r="JA35" s="353">
        <f>HLOOKUP($JG$3,'Timing calculations'!JH$8:JT$39,28,FALSE)</f>
        <v>13.909232928290219</v>
      </c>
      <c r="JB35" s="3">
        <f t="shared" si="153"/>
        <v>25.783333333333331</v>
      </c>
      <c r="JC35" s="353">
        <f t="shared" si="154"/>
        <v>27.140350877192983</v>
      </c>
      <c r="JD35" s="418">
        <f t="shared" si="37"/>
        <v>0.18750000000000011</v>
      </c>
      <c r="JE35" s="368">
        <f t="shared" si="155"/>
        <v>12.349999999999996</v>
      </c>
      <c r="JF35" s="369">
        <f t="shared" si="156"/>
        <v>12.999999999999996</v>
      </c>
      <c r="JG35" s="363">
        <f t="shared" si="157"/>
        <v>12.527989577670258</v>
      </c>
      <c r="JH35" s="362">
        <f t="shared" si="38"/>
        <v>13.187357450179221</v>
      </c>
      <c r="JI35" s="366">
        <f t="shared" si="39"/>
        <v>13.213771281875708</v>
      </c>
      <c r="JJ35" s="367">
        <f t="shared" si="9"/>
        <v>13.909232928290219</v>
      </c>
      <c r="JK35" s="363">
        <f t="shared" si="40"/>
        <v>13.899552986081158</v>
      </c>
      <c r="JL35" s="362">
        <f t="shared" si="41"/>
        <v>14.63110840640122</v>
      </c>
      <c r="JM35" s="366">
        <f t="shared" si="158"/>
        <v>14.58533469028661</v>
      </c>
      <c r="JN35" s="367">
        <f t="shared" si="42"/>
        <v>15.352983884512222</v>
      </c>
      <c r="JO35" s="363">
        <f t="shared" si="159"/>
        <v>15.271116394492061</v>
      </c>
      <c r="JP35" s="362">
        <f t="shared" si="43"/>
        <v>16.074859362623222</v>
      </c>
      <c r="JQ35" s="366">
        <f t="shared" si="160"/>
        <v>15.609039670516356</v>
      </c>
      <c r="JR35" s="367">
        <f t="shared" si="44"/>
        <v>16.430568074227743</v>
      </c>
      <c r="JS35" s="363">
        <f t="shared" si="161"/>
        <v>15.946962946540648</v>
      </c>
      <c r="JT35" s="362">
        <f t="shared" si="45"/>
        <v>16.786276785832261</v>
      </c>
    </row>
    <row r="36" spans="1:282" ht="26.5">
      <c r="A36" s="247" t="s">
        <v>111</v>
      </c>
      <c r="B36" s="247"/>
      <c r="C36" s="247"/>
      <c r="D36" s="247"/>
      <c r="E36" s="247"/>
      <c r="F36" s="261"/>
      <c r="G36" s="234" t="s">
        <v>116</v>
      </c>
      <c r="H36" s="711" t="s">
        <v>149</v>
      </c>
      <c r="I36" s="712"/>
      <c r="J36" s="712"/>
      <c r="K36" s="289"/>
      <c r="M36" s="234" t="s">
        <v>116</v>
      </c>
      <c r="N36" s="234"/>
      <c r="O36" s="711" t="s">
        <v>149</v>
      </c>
      <c r="P36" s="712"/>
      <c r="Q36" s="712"/>
      <c r="AO36" s="89">
        <v>2046</v>
      </c>
      <c r="AP36" s="170">
        <f t="shared" si="185"/>
        <v>-2.4959999999999996E-2</v>
      </c>
      <c r="AQ36" s="170">
        <f t="shared" si="185"/>
        <v>-6.0000000000000036E-3</v>
      </c>
      <c r="AR36" s="170">
        <f t="shared" si="185"/>
        <v>-1.9038461538461535E-2</v>
      </c>
      <c r="AS36" s="170">
        <f t="shared" si="185"/>
        <v>-6.7500000000000004E-2</v>
      </c>
      <c r="AU36" s="170">
        <f t="shared" si="186"/>
        <v>-4.364963503649634E-2</v>
      </c>
      <c r="AV36" s="170">
        <f t="shared" si="186"/>
        <v>-9.0462287104622924E-2</v>
      </c>
      <c r="AW36" s="170">
        <f t="shared" si="186"/>
        <v>-0.24525547445255474</v>
      </c>
      <c r="AY36" s="170">
        <f t="shared" si="164"/>
        <v>-8.4839999999999971E-2</v>
      </c>
      <c r="AZ36" s="278">
        <f t="shared" si="165"/>
        <v>8.4839999999999968E-3</v>
      </c>
      <c r="BA36" s="284">
        <f t="shared" si="166"/>
        <v>-3.6266370365217369E-2</v>
      </c>
      <c r="BB36" s="276">
        <f t="shared" si="167"/>
        <v>-3.8794749913043457E-2</v>
      </c>
      <c r="BC36" s="277">
        <f t="shared" si="10"/>
        <v>-3.6266370365217369E-2</v>
      </c>
      <c r="BD36" s="278">
        <f t="shared" si="168"/>
        <v>8.4839999999999968E-3</v>
      </c>
      <c r="BE36" s="284">
        <f t="shared" si="169"/>
        <v>-3.6266370365217411E-2</v>
      </c>
      <c r="BF36" s="276">
        <f t="shared" si="170"/>
        <v>-3.8794749913043457E-2</v>
      </c>
      <c r="BG36" s="277">
        <f t="shared" si="11"/>
        <v>-3.6266370365217411E-2</v>
      </c>
      <c r="BH36" s="278">
        <f t="shared" si="171"/>
        <v>1.6967999999999994E-2</v>
      </c>
      <c r="BI36" s="284">
        <f t="shared" si="172"/>
        <v>-7.2532740730434808E-2</v>
      </c>
      <c r="BJ36" s="276">
        <f t="shared" si="173"/>
        <v>-7.7589499826087024E-2</v>
      </c>
      <c r="BK36" s="277">
        <f t="shared" si="12"/>
        <v>-7.2532740730434808E-2</v>
      </c>
      <c r="BL36" s="278">
        <f t="shared" si="174"/>
        <v>1.6967999999999994E-2</v>
      </c>
      <c r="BM36" s="284">
        <f t="shared" si="175"/>
        <v>-7.2532740730434767E-2</v>
      </c>
      <c r="BN36" s="276">
        <f t="shared" si="176"/>
        <v>-7.7589499826086886E-2</v>
      </c>
      <c r="BO36" s="277">
        <f t="shared" si="13"/>
        <v>-7.2532740730434767E-2</v>
      </c>
      <c r="BP36" s="278">
        <f t="shared" si="177"/>
        <v>1.6967999999999994E-2</v>
      </c>
      <c r="BQ36" s="284">
        <f t="shared" si="178"/>
        <v>-7.2532740730434822E-2</v>
      </c>
      <c r="BR36" s="276">
        <f t="shared" si="179"/>
        <v>-7.7589499826086997E-2</v>
      </c>
      <c r="BS36" s="277">
        <f t="shared" si="14"/>
        <v>-7.2532740730434822E-2</v>
      </c>
      <c r="BT36" s="278">
        <f t="shared" si="180"/>
        <v>1.6967999999999994E-2</v>
      </c>
      <c r="BU36" s="284">
        <f t="shared" si="181"/>
        <v>-7.2532740730434767E-2</v>
      </c>
      <c r="BV36" s="276">
        <f t="shared" si="182"/>
        <v>-7.7589499826086941E-2</v>
      </c>
      <c r="BW36" s="278">
        <f t="shared" si="15"/>
        <v>-7.2532740730434767E-2</v>
      </c>
      <c r="BX36" s="391">
        <f t="shared" si="46"/>
        <v>-1.6968E-2</v>
      </c>
      <c r="BY36" s="392">
        <f t="shared" si="47"/>
        <v>-0.29013096292173918</v>
      </c>
      <c r="BZ36" s="278"/>
      <c r="CB36" s="279">
        <f t="shared" si="183"/>
        <v>-0.58170585813213549</v>
      </c>
      <c r="CC36" s="64">
        <f t="shared" si="17"/>
        <v>-0.60948822849735285</v>
      </c>
      <c r="CD36" s="64">
        <f t="shared" si="18"/>
        <v>-0.6372705988625702</v>
      </c>
      <c r="CE36" s="64">
        <f t="shared" si="19"/>
        <v>-0.69283533959300503</v>
      </c>
      <c r="CF36" s="64">
        <f t="shared" si="20"/>
        <v>-0.74840008032343985</v>
      </c>
      <c r="CG36" s="64">
        <f t="shared" si="21"/>
        <v>-0.80396482105387468</v>
      </c>
      <c r="CH36" s="64">
        <f t="shared" si="22"/>
        <v>-0.8595295617843095</v>
      </c>
      <c r="CI36">
        <v>2046</v>
      </c>
      <c r="CJ36" s="240"/>
      <c r="CL36">
        <v>2046</v>
      </c>
      <c r="CM36" s="3">
        <f t="shared" si="48"/>
        <v>0.95</v>
      </c>
      <c r="CN36" s="64">
        <f t="shared" si="23"/>
        <v>0.92503999999999997</v>
      </c>
      <c r="CO36" s="64">
        <f t="shared" si="23"/>
        <v>0.91903999999999997</v>
      </c>
      <c r="CP36" s="64">
        <f t="shared" si="23"/>
        <v>0.90000153846153841</v>
      </c>
      <c r="CQ36" s="64">
        <f t="shared" si="23"/>
        <v>0.8325015384615384</v>
      </c>
      <c r="CR36" s="64">
        <f t="shared" si="24"/>
        <v>0.78885190342504208</v>
      </c>
      <c r="CS36" s="64">
        <f t="shared" si="24"/>
        <v>0.69838961632041918</v>
      </c>
      <c r="CT36" s="64">
        <f t="shared" si="24"/>
        <v>0.45313414186786444</v>
      </c>
      <c r="CU36" s="64">
        <f t="shared" si="25"/>
        <v>0.36829414186786447</v>
      </c>
      <c r="CV36" s="64">
        <f t="shared" si="25"/>
        <v>0.37677814186786446</v>
      </c>
      <c r="CW36" s="65">
        <f t="shared" si="49"/>
        <v>0.34051177150264711</v>
      </c>
      <c r="CX36" s="64">
        <f t="shared" si="50"/>
        <v>0.38526214186786445</v>
      </c>
      <c r="CY36" s="65">
        <f t="shared" si="51"/>
        <v>0.3127294011374297</v>
      </c>
      <c r="CZ36" s="64">
        <f t="shared" si="52"/>
        <v>0.40223014186786443</v>
      </c>
      <c r="DA36" s="65">
        <f t="shared" si="53"/>
        <v>0.25716466040699487</v>
      </c>
      <c r="DB36" s="64">
        <f t="shared" si="54"/>
        <v>0.41919814186786442</v>
      </c>
      <c r="DC36" s="65">
        <f t="shared" si="55"/>
        <v>0.2015999196765601</v>
      </c>
      <c r="DD36" s="64">
        <f t="shared" si="56"/>
        <v>0.4361661418678644</v>
      </c>
      <c r="DE36" s="65">
        <f t="shared" si="57"/>
        <v>0.14603517894612528</v>
      </c>
      <c r="DF36" s="64">
        <f t="shared" si="58"/>
        <v>0.45313414186786438</v>
      </c>
      <c r="DG36" s="65">
        <f t="shared" si="59"/>
        <v>9.0470438215690493E-2</v>
      </c>
      <c r="DL36">
        <v>2046</v>
      </c>
      <c r="DM36" s="64">
        <f t="shared" si="60"/>
        <v>9.0470438215690493E-2</v>
      </c>
      <c r="DN36" s="64">
        <f t="shared" si="61"/>
        <v>0.14603517894612528</v>
      </c>
      <c r="DO36" s="64">
        <f t="shared" si="62"/>
        <v>0.2015999196765601</v>
      </c>
      <c r="DP36" s="64">
        <f t="shared" si="63"/>
        <v>0.25716466040699487</v>
      </c>
      <c r="DQ36" s="64">
        <f t="shared" si="64"/>
        <v>0.3127294011374297</v>
      </c>
      <c r="DR36" s="64">
        <f t="shared" si="65"/>
        <v>0.34051177150264711</v>
      </c>
      <c r="DS36" s="64">
        <f t="shared" si="26"/>
        <v>0.36829414186786447</v>
      </c>
      <c r="DT36" s="64">
        <f t="shared" si="27"/>
        <v>0.45313414186786444</v>
      </c>
      <c r="DU36" s="64">
        <f t="shared" si="28"/>
        <v>0.69838961632041918</v>
      </c>
      <c r="DV36" s="64">
        <f t="shared" si="29"/>
        <v>0.78885190342504208</v>
      </c>
      <c r="DW36" s="64">
        <f t="shared" si="30"/>
        <v>0.8325015384615384</v>
      </c>
      <c r="DX36" s="64">
        <f t="shared" si="31"/>
        <v>0.90000153846153841</v>
      </c>
      <c r="DY36" s="64">
        <f t="shared" si="32"/>
        <v>0.91903999999999997</v>
      </c>
      <c r="DZ36" s="64">
        <f t="shared" si="33"/>
        <v>0.92503999999999997</v>
      </c>
      <c r="EA36" s="3">
        <f t="shared" si="66"/>
        <v>0.95</v>
      </c>
      <c r="EB36">
        <v>2046</v>
      </c>
      <c r="EC36" s="269">
        <f t="shared" si="67"/>
        <v>9.0470438215690563E-2</v>
      </c>
      <c r="ED36" s="269">
        <f t="shared" si="68"/>
        <v>0.05</v>
      </c>
      <c r="EE36" s="64">
        <f t="shared" si="184"/>
        <v>5.5564740730434783E-2</v>
      </c>
      <c r="EF36" s="64">
        <f t="shared" si="184"/>
        <v>5.5564740730434825E-2</v>
      </c>
      <c r="EG36" s="64">
        <f t="shared" si="184"/>
        <v>5.556474073043477E-2</v>
      </c>
      <c r="EH36" s="64">
        <f t="shared" si="184"/>
        <v>5.5564740730434825E-2</v>
      </c>
      <c r="EI36" s="64">
        <f t="shared" si="184"/>
        <v>2.7782370365217413E-2</v>
      </c>
      <c r="EJ36" s="64">
        <f t="shared" si="184"/>
        <v>2.7782370365217357E-2</v>
      </c>
      <c r="EK36" s="64">
        <f t="shared" si="184"/>
        <v>8.4839999999999971E-2</v>
      </c>
      <c r="EL36" s="64">
        <f t="shared" si="184"/>
        <v>0.24525547445255474</v>
      </c>
      <c r="EM36" s="64">
        <f t="shared" si="184"/>
        <v>9.0462287104622896E-2</v>
      </c>
      <c r="EN36" s="64">
        <f t="shared" si="184"/>
        <v>4.3649635036496326E-2</v>
      </c>
      <c r="EO36" s="64">
        <f t="shared" si="184"/>
        <v>6.7500000000000004E-2</v>
      </c>
      <c r="EP36" s="64">
        <f t="shared" si="184"/>
        <v>1.903846153846156E-2</v>
      </c>
      <c r="EQ36" s="64">
        <f t="shared" si="184"/>
        <v>6.0000000000000053E-3</v>
      </c>
      <c r="ER36" s="64">
        <f t="shared" si="184"/>
        <v>2.4959999999999982E-2</v>
      </c>
      <c r="EX36" s="89">
        <v>2046</v>
      </c>
      <c r="EY36" s="278">
        <f t="shared" si="69"/>
        <v>1.0366666666666666</v>
      </c>
      <c r="EZ36" s="278"/>
      <c r="FA36" s="278">
        <f t="shared" si="70"/>
        <v>0.10264454286105018</v>
      </c>
      <c r="FB36" s="278">
        <f t="shared" si="35"/>
        <v>0.05</v>
      </c>
      <c r="FC36" s="64">
        <f t="shared" si="71"/>
        <v>0.39409455796869569</v>
      </c>
      <c r="FD36" s="64">
        <f t="shared" si="72"/>
        <v>7.5402647089125215E-18</v>
      </c>
      <c r="FE36" s="64">
        <f t="shared" si="73"/>
        <v>0.26651094890510951</v>
      </c>
      <c r="FF36" s="64">
        <f t="shared" si="74"/>
        <v>9.8302351987023542E-2</v>
      </c>
      <c r="FG36" s="64">
        <f t="shared" si="75"/>
        <v>4.7432603406326004E-2</v>
      </c>
      <c r="FH36" s="64">
        <f t="shared" si="76"/>
        <v>7.3349999999999999E-2</v>
      </c>
      <c r="FI36" s="64">
        <f t="shared" si="77"/>
        <v>2.0688461538461562E-2</v>
      </c>
      <c r="FJ36" s="64">
        <f t="shared" si="78"/>
        <v>6.5200000000000058E-3</v>
      </c>
      <c r="FK36" s="280">
        <f t="shared" si="79"/>
        <v>2.7123199999999979E-2</v>
      </c>
      <c r="FL36" s="64"/>
      <c r="FM36" s="89">
        <v>2046</v>
      </c>
      <c r="FN36" s="278">
        <f t="shared" si="80"/>
        <v>1.0366666666666666</v>
      </c>
      <c r="FP36" s="278">
        <f t="shared" si="81"/>
        <v>0.16302489445478929</v>
      </c>
      <c r="FQ36" s="278">
        <f t="shared" si="82"/>
        <v>0.05</v>
      </c>
      <c r="FR36" s="64">
        <f t="shared" si="83"/>
        <v>0.31527564637495659</v>
      </c>
      <c r="FS36" s="64">
        <f t="shared" si="84"/>
        <v>1.843856E-2</v>
      </c>
      <c r="FT36" s="64">
        <f t="shared" si="85"/>
        <v>0.26651094890510951</v>
      </c>
      <c r="FU36" s="64">
        <f t="shared" si="86"/>
        <v>9.8302351987023542E-2</v>
      </c>
      <c r="FV36" s="64">
        <f t="shared" si="87"/>
        <v>4.7432603406326004E-2</v>
      </c>
      <c r="FW36" s="64">
        <f t="shared" si="88"/>
        <v>7.3349999999999999E-2</v>
      </c>
      <c r="FX36" s="64">
        <f t="shared" si="89"/>
        <v>2.0688461538461562E-2</v>
      </c>
      <c r="FY36" s="64">
        <f t="shared" si="90"/>
        <v>6.5200000000000058E-3</v>
      </c>
      <c r="FZ36" s="280">
        <f t="shared" si="91"/>
        <v>2.7123199999999979E-2</v>
      </c>
      <c r="GA36" s="64"/>
      <c r="GB36" s="89">
        <v>2046</v>
      </c>
      <c r="GC36" s="278">
        <f t="shared" si="92"/>
        <v>1.0366666666666666</v>
      </c>
      <c r="GE36" s="278">
        <f t="shared" si="93"/>
        <v>0.22340524604852852</v>
      </c>
      <c r="GF36" s="278">
        <f t="shared" si="94"/>
        <v>0.05</v>
      </c>
      <c r="GG36" s="64">
        <f t="shared" si="95"/>
        <v>0.23645673478121743</v>
      </c>
      <c r="GH36" s="64">
        <f t="shared" si="96"/>
        <v>3.6877119999999992E-2</v>
      </c>
      <c r="GI36" s="64">
        <f t="shared" si="97"/>
        <v>0.26651094890510951</v>
      </c>
      <c r="GJ36" s="64">
        <f t="shared" si="98"/>
        <v>9.8302351987023542E-2</v>
      </c>
      <c r="GK36" s="64">
        <f t="shared" si="99"/>
        <v>4.7432603406326004E-2</v>
      </c>
      <c r="GL36" s="64">
        <f t="shared" si="100"/>
        <v>7.3349999999999999E-2</v>
      </c>
      <c r="GM36" s="64">
        <f t="shared" si="101"/>
        <v>2.0688461538461562E-2</v>
      </c>
      <c r="GN36" s="64">
        <f t="shared" si="102"/>
        <v>6.5200000000000058E-3</v>
      </c>
      <c r="GO36" s="280">
        <f t="shared" si="103"/>
        <v>2.7123199999999979E-2</v>
      </c>
      <c r="GP36" s="64"/>
      <c r="GQ36" s="89">
        <v>2046</v>
      </c>
      <c r="GR36" s="278">
        <f t="shared" si="104"/>
        <v>1.0366666666666666</v>
      </c>
      <c r="GT36" s="278">
        <f t="shared" si="105"/>
        <v>0.28378559764226763</v>
      </c>
      <c r="GU36" s="278">
        <f t="shared" si="106"/>
        <v>0.05</v>
      </c>
      <c r="GV36" s="64">
        <f t="shared" si="107"/>
        <v>0.15763782318747829</v>
      </c>
      <c r="GW36" s="64">
        <f t="shared" si="108"/>
        <v>5.5315679999999992E-2</v>
      </c>
      <c r="GX36" s="64">
        <f t="shared" si="109"/>
        <v>0.26651094890510951</v>
      </c>
      <c r="GY36" s="64">
        <f t="shared" si="110"/>
        <v>9.8302351987023542E-2</v>
      </c>
      <c r="GZ36" s="64">
        <f t="shared" si="111"/>
        <v>4.7432603406326004E-2</v>
      </c>
      <c r="HA36" s="64">
        <f t="shared" si="112"/>
        <v>7.3349999999999999E-2</v>
      </c>
      <c r="HB36" s="64">
        <f t="shared" si="113"/>
        <v>2.0688461538461562E-2</v>
      </c>
      <c r="HC36" s="64">
        <f t="shared" si="114"/>
        <v>6.5200000000000058E-3</v>
      </c>
      <c r="HD36" s="280">
        <f t="shared" si="115"/>
        <v>2.7123199999999979E-2</v>
      </c>
      <c r="HE36" s="64"/>
      <c r="HF36" s="89">
        <v>2046</v>
      </c>
      <c r="HG36" s="278">
        <f t="shared" si="116"/>
        <v>1.0366666666666666</v>
      </c>
      <c r="HI36" s="278">
        <f t="shared" si="117"/>
        <v>0.34416594923600674</v>
      </c>
      <c r="HJ36" s="278">
        <f t="shared" si="118"/>
        <v>0.05</v>
      </c>
      <c r="HK36" s="64">
        <f t="shared" si="119"/>
        <v>7.8818911593739133E-2</v>
      </c>
      <c r="HL36" s="64">
        <f t="shared" si="120"/>
        <v>7.3754239999999985E-2</v>
      </c>
      <c r="HM36" s="64">
        <f t="shared" si="121"/>
        <v>0.26651094890510951</v>
      </c>
      <c r="HN36" s="64">
        <f t="shared" si="122"/>
        <v>9.8302351987023542E-2</v>
      </c>
      <c r="HO36" s="64">
        <f t="shared" si="123"/>
        <v>4.7432603406326004E-2</v>
      </c>
      <c r="HP36" s="64">
        <f t="shared" si="124"/>
        <v>7.3349999999999999E-2</v>
      </c>
      <c r="HQ36" s="64">
        <f t="shared" si="125"/>
        <v>2.0688461538461562E-2</v>
      </c>
      <c r="HR36" s="64">
        <f t="shared" si="126"/>
        <v>6.5200000000000058E-3</v>
      </c>
      <c r="HS36" s="280">
        <f t="shared" si="127"/>
        <v>2.7123199999999979E-2</v>
      </c>
      <c r="HT36" s="64"/>
      <c r="HU36" s="89">
        <v>2046</v>
      </c>
      <c r="HV36" s="278">
        <f t="shared" si="128"/>
        <v>1.0366666666666666</v>
      </c>
      <c r="HX36" s="278">
        <f t="shared" si="129"/>
        <v>0.37435612503287641</v>
      </c>
      <c r="HY36" s="278">
        <f t="shared" si="130"/>
        <v>0.05</v>
      </c>
      <c r="HZ36" s="64">
        <f t="shared" si="131"/>
        <v>3.9409455796869539E-2</v>
      </c>
      <c r="IA36" s="64">
        <f t="shared" si="132"/>
        <v>8.2973519999999981E-2</v>
      </c>
      <c r="IB36" s="64">
        <f t="shared" si="133"/>
        <v>0.26651094890510951</v>
      </c>
      <c r="IC36" s="64">
        <f t="shared" si="134"/>
        <v>9.8302351987023542E-2</v>
      </c>
      <c r="ID36" s="64">
        <f t="shared" si="135"/>
        <v>4.7432603406326004E-2</v>
      </c>
      <c r="IE36" s="64">
        <f t="shared" si="136"/>
        <v>7.3349999999999999E-2</v>
      </c>
      <c r="IF36" s="64">
        <f t="shared" si="137"/>
        <v>2.0688461538461562E-2</v>
      </c>
      <c r="IG36" s="64">
        <f t="shared" si="138"/>
        <v>6.5200000000000058E-3</v>
      </c>
      <c r="IH36" s="280">
        <f t="shared" si="139"/>
        <v>2.7123199999999979E-2</v>
      </c>
      <c r="II36" s="64"/>
      <c r="IJ36" s="89">
        <v>2046</v>
      </c>
      <c r="IK36" s="278">
        <f t="shared" si="140"/>
        <v>1.0366666666666666</v>
      </c>
      <c r="IM36" s="278">
        <f t="shared" si="141"/>
        <v>0.40454630082974596</v>
      </c>
      <c r="IN36" s="278">
        <f t="shared" si="142"/>
        <v>0.05</v>
      </c>
      <c r="IO36" s="64">
        <v>0</v>
      </c>
      <c r="IP36" s="64">
        <f t="shared" si="143"/>
        <v>9.2192799999999964E-2</v>
      </c>
      <c r="IQ36" s="64">
        <f t="shared" si="144"/>
        <v>0.26651094890510951</v>
      </c>
      <c r="IR36" s="64">
        <f t="shared" si="145"/>
        <v>9.8302351987023542E-2</v>
      </c>
      <c r="IS36" s="64">
        <f t="shared" si="146"/>
        <v>4.7432603406326004E-2</v>
      </c>
      <c r="IT36" s="64">
        <f t="shared" si="147"/>
        <v>7.3349999999999999E-2</v>
      </c>
      <c r="IU36" s="64">
        <f t="shared" si="148"/>
        <v>2.0688461538461562E-2</v>
      </c>
      <c r="IV36" s="64">
        <f t="shared" si="149"/>
        <v>6.5200000000000058E-3</v>
      </c>
      <c r="IW36" s="280">
        <f t="shared" si="150"/>
        <v>2.7123199999999979E-2</v>
      </c>
      <c r="IX36" s="3">
        <f t="shared" si="151"/>
        <v>0.16999999999999993</v>
      </c>
      <c r="IY36">
        <f t="shared" si="36"/>
        <v>2046</v>
      </c>
      <c r="IZ36" s="3">
        <f t="shared" si="152"/>
        <v>16.351509247370394</v>
      </c>
      <c r="JA36" s="353">
        <f>HLOOKUP($JG$3,'Timing calculations'!JH$8:JT$39,29,FALSE)</f>
        <v>14.080838080347892</v>
      </c>
      <c r="JB36" s="3">
        <f t="shared" si="153"/>
        <v>26.819999999999997</v>
      </c>
      <c r="JC36" s="353">
        <f t="shared" si="154"/>
        <v>28.231578947368419</v>
      </c>
      <c r="JD36" s="418">
        <f t="shared" si="37"/>
        <v>0.17000000000000012</v>
      </c>
      <c r="JE36" s="368">
        <f t="shared" si="155"/>
        <v>12.519999999999996</v>
      </c>
      <c r="JF36" s="369">
        <f t="shared" si="156"/>
        <v>13.178947368421049</v>
      </c>
      <c r="JG36" s="363">
        <f t="shared" si="157"/>
        <v>12.630634120531308</v>
      </c>
      <c r="JH36" s="362">
        <f t="shared" si="38"/>
        <v>13.295404337401378</v>
      </c>
      <c r="JI36" s="366">
        <f t="shared" si="39"/>
        <v>13.376796176330497</v>
      </c>
      <c r="JJ36" s="367">
        <f t="shared" si="9"/>
        <v>14.080838080347892</v>
      </c>
      <c r="JK36" s="363">
        <f t="shared" si="40"/>
        <v>14.122958232129687</v>
      </c>
      <c r="JL36" s="362">
        <f t="shared" si="41"/>
        <v>14.866271823294408</v>
      </c>
      <c r="JM36" s="366">
        <f t="shared" si="158"/>
        <v>14.869120287928878</v>
      </c>
      <c r="JN36" s="367">
        <f t="shared" si="42"/>
        <v>15.651705566240924</v>
      </c>
      <c r="JO36" s="363">
        <f t="shared" si="159"/>
        <v>15.615282343728069</v>
      </c>
      <c r="JP36" s="362">
        <f t="shared" si="43"/>
        <v>16.43713930918744</v>
      </c>
      <c r="JQ36" s="366">
        <f t="shared" si="160"/>
        <v>15.983395795549233</v>
      </c>
      <c r="JR36" s="367">
        <f t="shared" si="44"/>
        <v>16.824627153209722</v>
      </c>
      <c r="JS36" s="363">
        <f t="shared" si="161"/>
        <v>16.351509247370394</v>
      </c>
      <c r="JT36" s="362">
        <f t="shared" si="45"/>
        <v>17.212114997231996</v>
      </c>
    </row>
    <row r="37" spans="1:282">
      <c r="A37" s="689" t="s">
        <v>114</v>
      </c>
      <c r="B37" s="689"/>
      <c r="C37" s="689"/>
      <c r="D37" s="689"/>
      <c r="E37" s="689"/>
      <c r="F37" s="689"/>
      <c r="G37" s="235">
        <v>0</v>
      </c>
      <c r="H37" s="64">
        <f>$A78*(1-H$3-H$16-H$19-H$22-H$25-H$31-H$32-H$33)</f>
        <v>0</v>
      </c>
      <c r="I37" s="64">
        <f>$A78*(1-I$3-I$16-I$19-I$22-I$25-I$31-I$32-I$33)</f>
        <v>0</v>
      </c>
      <c r="J37" s="64">
        <f>$A78*(1-J$3-J$16-J$19-J$22-J$25-J$31-J$32-J$33)</f>
        <v>0</v>
      </c>
      <c r="K37" s="64"/>
      <c r="M37" s="235">
        <v>0</v>
      </c>
      <c r="N37" s="235"/>
      <c r="O37" s="64">
        <f>$A101*(1-H$3-H$16-H$19-H$22-H$25-H$31-H$32-H$33)</f>
        <v>0</v>
      </c>
      <c r="P37" s="64">
        <f>$A101*(1-I$3-I$16-I$19-I$22-I$25-I$31-I$32-I$33)</f>
        <v>0</v>
      </c>
      <c r="Q37" s="64">
        <f>$A101*(1-J$3-J$16-J$19-J$22-J$25-J$31-J$32-J$33)</f>
        <v>0</v>
      </c>
      <c r="AO37" s="89">
        <v>2047</v>
      </c>
      <c r="AP37" s="170">
        <f t="shared" si="185"/>
        <v>-2.5919999999999995E-2</v>
      </c>
      <c r="AQ37" s="170">
        <f t="shared" si="185"/>
        <v>-6.2500000000000038E-3</v>
      </c>
      <c r="AR37" s="170">
        <f t="shared" si="185"/>
        <v>-1.990384615384615E-2</v>
      </c>
      <c r="AS37" s="170">
        <f t="shared" si="185"/>
        <v>-6.7500000000000004E-2</v>
      </c>
      <c r="AU37" s="170">
        <f t="shared" si="186"/>
        <v>-4.532846715328466E-2</v>
      </c>
      <c r="AV37" s="170">
        <f t="shared" si="186"/>
        <v>-9.3941605839416117E-2</v>
      </c>
      <c r="AW37" s="170">
        <f t="shared" si="186"/>
        <v>-0.24525547445255474</v>
      </c>
      <c r="AY37" s="170">
        <f t="shared" si="164"/>
        <v>-8.4839999999999971E-2</v>
      </c>
      <c r="AZ37" s="278">
        <f t="shared" si="165"/>
        <v>8.4839999999999968E-3</v>
      </c>
      <c r="BA37" s="284">
        <f t="shared" si="166"/>
        <v>-3.6898465252173891E-2</v>
      </c>
      <c r="BB37" s="276">
        <f t="shared" si="167"/>
        <v>-3.8794749913043457E-2</v>
      </c>
      <c r="BC37" s="277">
        <f t="shared" si="10"/>
        <v>-3.6898465252173891E-2</v>
      </c>
      <c r="BD37" s="278">
        <f t="shared" si="168"/>
        <v>8.4839999999999968E-3</v>
      </c>
      <c r="BE37" s="284">
        <f t="shared" si="169"/>
        <v>-3.6898465252173933E-2</v>
      </c>
      <c r="BF37" s="276">
        <f t="shared" si="170"/>
        <v>-3.8794749913043457E-2</v>
      </c>
      <c r="BG37" s="277">
        <f t="shared" si="11"/>
        <v>-3.6898465252173933E-2</v>
      </c>
      <c r="BH37" s="278">
        <f t="shared" si="171"/>
        <v>1.6967999999999994E-2</v>
      </c>
      <c r="BI37" s="284">
        <f t="shared" si="172"/>
        <v>-7.3796930504347852E-2</v>
      </c>
      <c r="BJ37" s="276">
        <f t="shared" si="173"/>
        <v>-7.7589499826087024E-2</v>
      </c>
      <c r="BK37" s="277">
        <f t="shared" si="12"/>
        <v>-7.3796930504347852E-2</v>
      </c>
      <c r="BL37" s="278">
        <f t="shared" si="174"/>
        <v>1.6967999999999994E-2</v>
      </c>
      <c r="BM37" s="284">
        <f t="shared" si="175"/>
        <v>-7.379693050434781E-2</v>
      </c>
      <c r="BN37" s="276">
        <f t="shared" si="176"/>
        <v>-7.7589499826086886E-2</v>
      </c>
      <c r="BO37" s="277">
        <f t="shared" si="13"/>
        <v>-7.379693050434781E-2</v>
      </c>
      <c r="BP37" s="278">
        <f t="shared" si="177"/>
        <v>1.6967999999999994E-2</v>
      </c>
      <c r="BQ37" s="284">
        <f t="shared" si="178"/>
        <v>-7.3796930504347866E-2</v>
      </c>
      <c r="BR37" s="276">
        <f t="shared" si="179"/>
        <v>-7.7589499826086997E-2</v>
      </c>
      <c r="BS37" s="277">
        <f t="shared" si="14"/>
        <v>-7.3796930504347866E-2</v>
      </c>
      <c r="BT37" s="278">
        <f t="shared" si="180"/>
        <v>1.6967999999999994E-2</v>
      </c>
      <c r="BU37" s="284">
        <f t="shared" si="181"/>
        <v>-7.379693050434781E-2</v>
      </c>
      <c r="BV37" s="276">
        <f t="shared" si="182"/>
        <v>-7.7589499826086941E-2</v>
      </c>
      <c r="BW37" s="278">
        <f t="shared" si="15"/>
        <v>-7.379693050434781E-2</v>
      </c>
      <c r="BX37" s="391">
        <f t="shared" si="46"/>
        <v>-1.6968E-2</v>
      </c>
      <c r="BY37" s="392">
        <f t="shared" si="47"/>
        <v>-0.29518772201739135</v>
      </c>
      <c r="BZ37" s="278"/>
      <c r="CB37" s="279">
        <f t="shared" si="183"/>
        <v>-0.58893939359910163</v>
      </c>
      <c r="CC37" s="64">
        <f t="shared" si="17"/>
        <v>-0.61735385885127547</v>
      </c>
      <c r="CD37" s="64">
        <f t="shared" si="18"/>
        <v>-0.64576832410344931</v>
      </c>
      <c r="CE37" s="64">
        <f t="shared" si="19"/>
        <v>-0.70259725460779721</v>
      </c>
      <c r="CF37" s="64">
        <f t="shared" si="20"/>
        <v>-0.75942618511214499</v>
      </c>
      <c r="CG37" s="64">
        <f t="shared" si="21"/>
        <v>-0.81625511561649289</v>
      </c>
      <c r="CH37" s="64">
        <f t="shared" si="22"/>
        <v>-0.87308404612084067</v>
      </c>
      <c r="CI37">
        <v>2047</v>
      </c>
      <c r="CJ37" s="240"/>
      <c r="CL37">
        <v>2047</v>
      </c>
      <c r="CM37" s="3">
        <f t="shared" si="48"/>
        <v>0.95</v>
      </c>
      <c r="CN37" s="64">
        <f t="shared" si="23"/>
        <v>0.92408000000000001</v>
      </c>
      <c r="CO37" s="64">
        <f t="shared" si="23"/>
        <v>0.91783000000000003</v>
      </c>
      <c r="CP37" s="64">
        <f t="shared" si="23"/>
        <v>0.89792615384615393</v>
      </c>
      <c r="CQ37" s="64">
        <f t="shared" si="23"/>
        <v>0.83042615384615392</v>
      </c>
      <c r="CR37" s="64">
        <f t="shared" si="24"/>
        <v>0.78509768669286928</v>
      </c>
      <c r="CS37" s="64">
        <f t="shared" si="24"/>
        <v>0.69115608085345315</v>
      </c>
      <c r="CT37" s="64">
        <f t="shared" si="24"/>
        <v>0.4459006064008984</v>
      </c>
      <c r="CU37" s="64">
        <f t="shared" si="25"/>
        <v>0.36106060640089843</v>
      </c>
      <c r="CV37" s="64">
        <f t="shared" si="25"/>
        <v>0.36954460640089842</v>
      </c>
      <c r="CW37" s="65">
        <f t="shared" si="49"/>
        <v>0.33264614114872454</v>
      </c>
      <c r="CX37" s="64">
        <f t="shared" si="50"/>
        <v>0.37802860640089841</v>
      </c>
      <c r="CY37" s="65">
        <f t="shared" si="51"/>
        <v>0.30423167589655059</v>
      </c>
      <c r="CZ37" s="64">
        <f t="shared" si="52"/>
        <v>0.3949966064008984</v>
      </c>
      <c r="DA37" s="65">
        <f t="shared" si="53"/>
        <v>0.24740274539220272</v>
      </c>
      <c r="DB37" s="64">
        <f t="shared" si="54"/>
        <v>0.41196460640089838</v>
      </c>
      <c r="DC37" s="65">
        <f t="shared" si="55"/>
        <v>0.19057381488785491</v>
      </c>
      <c r="DD37" s="64">
        <f t="shared" si="56"/>
        <v>0.42893260640089836</v>
      </c>
      <c r="DE37" s="65">
        <f t="shared" si="57"/>
        <v>0.13374488438350701</v>
      </c>
      <c r="DF37" s="64">
        <f t="shared" si="58"/>
        <v>0.44590060640089835</v>
      </c>
      <c r="DG37" s="65">
        <f t="shared" si="59"/>
        <v>7.6915953879159185E-2</v>
      </c>
      <c r="DL37">
        <v>2047</v>
      </c>
      <c r="DM37" s="64">
        <f t="shared" si="60"/>
        <v>7.6915953879159185E-2</v>
      </c>
      <c r="DN37" s="64">
        <f t="shared" si="61"/>
        <v>0.13374488438350701</v>
      </c>
      <c r="DO37" s="64">
        <f t="shared" si="62"/>
        <v>0.19057381488785491</v>
      </c>
      <c r="DP37" s="64">
        <f t="shared" si="63"/>
        <v>0.24740274539220272</v>
      </c>
      <c r="DQ37" s="64">
        <f t="shared" si="64"/>
        <v>0.30423167589655059</v>
      </c>
      <c r="DR37" s="64">
        <f t="shared" si="65"/>
        <v>0.33264614114872454</v>
      </c>
      <c r="DS37" s="64">
        <f t="shared" si="26"/>
        <v>0.36106060640089843</v>
      </c>
      <c r="DT37" s="64">
        <f t="shared" si="27"/>
        <v>0.4459006064008984</v>
      </c>
      <c r="DU37" s="64">
        <f t="shared" si="28"/>
        <v>0.69115608085345315</v>
      </c>
      <c r="DV37" s="64">
        <f t="shared" si="29"/>
        <v>0.78509768669286928</v>
      </c>
      <c r="DW37" s="64">
        <f t="shared" si="30"/>
        <v>0.83042615384615392</v>
      </c>
      <c r="DX37" s="64">
        <f t="shared" si="31"/>
        <v>0.89792615384615393</v>
      </c>
      <c r="DY37" s="64">
        <f t="shared" si="32"/>
        <v>0.91783000000000003</v>
      </c>
      <c r="DZ37" s="64">
        <f t="shared" si="33"/>
        <v>0.92408000000000001</v>
      </c>
      <c r="EA37" s="3">
        <f t="shared" si="66"/>
        <v>0.95</v>
      </c>
      <c r="EB37">
        <v>2047</v>
      </c>
      <c r="EC37" s="269">
        <f t="shared" si="67"/>
        <v>7.6915953879159282E-2</v>
      </c>
      <c r="ED37" s="269">
        <f t="shared" si="68"/>
        <v>0.05</v>
      </c>
      <c r="EE37" s="64">
        <f t="shared" si="184"/>
        <v>5.6828930504347827E-2</v>
      </c>
      <c r="EF37" s="64">
        <f t="shared" si="184"/>
        <v>5.6828930504347897E-2</v>
      </c>
      <c r="EG37" s="64">
        <f t="shared" si="184"/>
        <v>5.6828930504347813E-2</v>
      </c>
      <c r="EH37" s="64">
        <f t="shared" si="184"/>
        <v>5.6828930504347869E-2</v>
      </c>
      <c r="EI37" s="64">
        <f t="shared" si="184"/>
        <v>2.8414465252173948E-2</v>
      </c>
      <c r="EJ37" s="64">
        <f t="shared" si="184"/>
        <v>2.8414465252173893E-2</v>
      </c>
      <c r="EK37" s="64">
        <f t="shared" si="184"/>
        <v>8.4839999999999971E-2</v>
      </c>
      <c r="EL37" s="64">
        <f t="shared" si="184"/>
        <v>0.24525547445255474</v>
      </c>
      <c r="EM37" s="64">
        <f t="shared" si="184"/>
        <v>9.3941605839416131E-2</v>
      </c>
      <c r="EN37" s="64">
        <f t="shared" si="184"/>
        <v>4.5328467153284646E-2</v>
      </c>
      <c r="EO37" s="64">
        <f t="shared" si="184"/>
        <v>6.7500000000000004E-2</v>
      </c>
      <c r="EP37" s="64">
        <f t="shared" si="184"/>
        <v>1.9903846153846105E-2</v>
      </c>
      <c r="EQ37" s="64">
        <f t="shared" si="184"/>
        <v>6.2499999999999778E-3</v>
      </c>
      <c r="ER37" s="64">
        <f t="shared" si="184"/>
        <v>2.5919999999999943E-2</v>
      </c>
      <c r="EX37" s="89">
        <v>2047</v>
      </c>
      <c r="EY37" s="278">
        <f t="shared" si="69"/>
        <v>1.04</v>
      </c>
      <c r="EZ37" s="278"/>
      <c r="FA37" s="278">
        <f t="shared" si="70"/>
        <v>8.833838972828334E-2</v>
      </c>
      <c r="FB37" s="278">
        <f t="shared" si="35"/>
        <v>0.05</v>
      </c>
      <c r="FC37" s="64">
        <f t="shared" si="71"/>
        <v>0.40219327124869575</v>
      </c>
      <c r="FD37" s="64">
        <f t="shared" si="72"/>
        <v>7.5633943552588795E-18</v>
      </c>
      <c r="FE37" s="64">
        <f t="shared" si="73"/>
        <v>0.26732846715328468</v>
      </c>
      <c r="FF37" s="64">
        <f t="shared" si="74"/>
        <v>0.10239635036496358</v>
      </c>
      <c r="FG37" s="64">
        <f t="shared" si="75"/>
        <v>4.9408029197080268E-2</v>
      </c>
      <c r="FH37" s="64">
        <f t="shared" si="76"/>
        <v>7.3575000000000015E-2</v>
      </c>
      <c r="FI37" s="64">
        <f t="shared" si="77"/>
        <v>2.1695192307692256E-2</v>
      </c>
      <c r="FJ37" s="64">
        <f t="shared" si="78"/>
        <v>6.8124999999999766E-3</v>
      </c>
      <c r="FK37" s="280">
        <f t="shared" si="79"/>
        <v>2.8252799999999939E-2</v>
      </c>
      <c r="FL37" s="64"/>
      <c r="FM37" s="89">
        <v>2047</v>
      </c>
      <c r="FN37" s="278">
        <f t="shared" si="80"/>
        <v>1.04</v>
      </c>
      <c r="FP37" s="278">
        <f t="shared" si="81"/>
        <v>0.15028192397802254</v>
      </c>
      <c r="FQ37" s="278">
        <f t="shared" si="82"/>
        <v>0.05</v>
      </c>
      <c r="FR37" s="64">
        <f t="shared" si="83"/>
        <v>0.32175461699895658</v>
      </c>
      <c r="FS37" s="64">
        <f t="shared" si="84"/>
        <v>1.849512E-2</v>
      </c>
      <c r="FT37" s="64">
        <f t="shared" si="85"/>
        <v>0.26732846715328468</v>
      </c>
      <c r="FU37" s="64">
        <f t="shared" si="86"/>
        <v>0.10239635036496358</v>
      </c>
      <c r="FV37" s="64">
        <f t="shared" si="87"/>
        <v>4.9408029197080268E-2</v>
      </c>
      <c r="FW37" s="64">
        <f t="shared" si="88"/>
        <v>7.3575000000000015E-2</v>
      </c>
      <c r="FX37" s="64">
        <f t="shared" si="89"/>
        <v>2.1695192307692256E-2</v>
      </c>
      <c r="FY37" s="64">
        <f t="shared" si="90"/>
        <v>6.8124999999999766E-3</v>
      </c>
      <c r="FZ37" s="280">
        <f t="shared" si="91"/>
        <v>2.8252799999999939E-2</v>
      </c>
      <c r="GA37" s="64"/>
      <c r="GB37" s="89">
        <v>2047</v>
      </c>
      <c r="GC37" s="278">
        <f t="shared" si="92"/>
        <v>1.04</v>
      </c>
      <c r="GE37" s="278">
        <f t="shared" si="93"/>
        <v>0.21222545822776173</v>
      </c>
      <c r="GF37" s="278">
        <f t="shared" si="94"/>
        <v>0.05</v>
      </c>
      <c r="GG37" s="64">
        <f t="shared" si="95"/>
        <v>0.24131596274921741</v>
      </c>
      <c r="GH37" s="64">
        <f t="shared" si="96"/>
        <v>3.6990239999999994E-2</v>
      </c>
      <c r="GI37" s="64">
        <f t="shared" si="97"/>
        <v>0.26732846715328468</v>
      </c>
      <c r="GJ37" s="64">
        <f t="shared" si="98"/>
        <v>0.10239635036496358</v>
      </c>
      <c r="GK37" s="64">
        <f t="shared" si="99"/>
        <v>4.9408029197080268E-2</v>
      </c>
      <c r="GL37" s="64">
        <f t="shared" si="100"/>
        <v>7.3575000000000015E-2</v>
      </c>
      <c r="GM37" s="64">
        <f t="shared" si="101"/>
        <v>2.1695192307692256E-2</v>
      </c>
      <c r="GN37" s="64">
        <f t="shared" si="102"/>
        <v>6.8124999999999766E-3</v>
      </c>
      <c r="GO37" s="280">
        <f t="shared" si="103"/>
        <v>2.8252799999999939E-2</v>
      </c>
      <c r="GP37" s="64"/>
      <c r="GQ37" s="89">
        <v>2047</v>
      </c>
      <c r="GR37" s="278">
        <f t="shared" si="104"/>
        <v>1.04</v>
      </c>
      <c r="GT37" s="278">
        <f t="shared" si="105"/>
        <v>0.27416899247750093</v>
      </c>
      <c r="GU37" s="278">
        <f t="shared" si="106"/>
        <v>0.05</v>
      </c>
      <c r="GV37" s="64">
        <f t="shared" si="107"/>
        <v>0.16087730849947829</v>
      </c>
      <c r="GW37" s="64">
        <f t="shared" si="108"/>
        <v>5.5485359999999997E-2</v>
      </c>
      <c r="GX37" s="64">
        <f t="shared" si="109"/>
        <v>0.26732846715328468</v>
      </c>
      <c r="GY37" s="64">
        <f t="shared" si="110"/>
        <v>0.10239635036496358</v>
      </c>
      <c r="GZ37" s="64">
        <f t="shared" si="111"/>
        <v>4.9408029197080268E-2</v>
      </c>
      <c r="HA37" s="64">
        <f t="shared" si="112"/>
        <v>7.3575000000000015E-2</v>
      </c>
      <c r="HB37" s="64">
        <f t="shared" si="113"/>
        <v>2.1695192307692256E-2</v>
      </c>
      <c r="HC37" s="64">
        <f t="shared" si="114"/>
        <v>6.8124999999999766E-3</v>
      </c>
      <c r="HD37" s="280">
        <f t="shared" si="115"/>
        <v>2.8252799999999939E-2</v>
      </c>
      <c r="HE37" s="64"/>
      <c r="HF37" s="89">
        <v>2047</v>
      </c>
      <c r="HG37" s="278">
        <f t="shared" si="116"/>
        <v>1.04</v>
      </c>
      <c r="HI37" s="278">
        <f t="shared" si="117"/>
        <v>0.33611252672724012</v>
      </c>
      <c r="HJ37" s="278">
        <f t="shared" si="118"/>
        <v>0.05</v>
      </c>
      <c r="HK37" s="64">
        <f t="shared" si="119"/>
        <v>8.043865424973913E-2</v>
      </c>
      <c r="HL37" s="64">
        <f t="shared" si="120"/>
        <v>7.3980479999999987E-2</v>
      </c>
      <c r="HM37" s="64">
        <f t="shared" si="121"/>
        <v>0.26732846715328468</v>
      </c>
      <c r="HN37" s="64">
        <f t="shared" si="122"/>
        <v>0.10239635036496358</v>
      </c>
      <c r="HO37" s="64">
        <f t="shared" si="123"/>
        <v>4.9408029197080268E-2</v>
      </c>
      <c r="HP37" s="64">
        <f t="shared" si="124"/>
        <v>7.3575000000000015E-2</v>
      </c>
      <c r="HQ37" s="64">
        <f t="shared" si="125"/>
        <v>2.1695192307692256E-2</v>
      </c>
      <c r="HR37" s="64">
        <f t="shared" si="126"/>
        <v>6.8124999999999766E-3</v>
      </c>
      <c r="HS37" s="280">
        <f t="shared" si="127"/>
        <v>2.8252799999999939E-2</v>
      </c>
      <c r="HT37" s="64"/>
      <c r="HU37" s="89">
        <v>2047</v>
      </c>
      <c r="HV37" s="278">
        <f t="shared" si="128"/>
        <v>1.04</v>
      </c>
      <c r="HX37" s="278">
        <f t="shared" si="129"/>
        <v>0.36708429385210972</v>
      </c>
      <c r="HY37" s="278">
        <f t="shared" si="130"/>
        <v>0.05</v>
      </c>
      <c r="HZ37" s="64">
        <f t="shared" si="131"/>
        <v>4.0219327124869544E-2</v>
      </c>
      <c r="IA37" s="64">
        <f t="shared" si="132"/>
        <v>8.3228039999999989E-2</v>
      </c>
      <c r="IB37" s="64">
        <f t="shared" si="133"/>
        <v>0.26732846715328468</v>
      </c>
      <c r="IC37" s="64">
        <f t="shared" si="134"/>
        <v>0.10239635036496358</v>
      </c>
      <c r="ID37" s="64">
        <f t="shared" si="135"/>
        <v>4.9408029197080268E-2</v>
      </c>
      <c r="IE37" s="64">
        <f t="shared" si="136"/>
        <v>7.3575000000000015E-2</v>
      </c>
      <c r="IF37" s="64">
        <f t="shared" si="137"/>
        <v>2.1695192307692256E-2</v>
      </c>
      <c r="IG37" s="64">
        <f t="shared" si="138"/>
        <v>6.8124999999999766E-3</v>
      </c>
      <c r="IH37" s="280">
        <f t="shared" si="139"/>
        <v>2.8252799999999939E-2</v>
      </c>
      <c r="II37" s="64"/>
      <c r="IJ37" s="89">
        <v>2047</v>
      </c>
      <c r="IK37" s="278">
        <f t="shared" si="140"/>
        <v>1.04</v>
      </c>
      <c r="IM37" s="278">
        <f t="shared" si="141"/>
        <v>0.39805606097697921</v>
      </c>
      <c r="IN37" s="278">
        <f t="shared" si="142"/>
        <v>0.05</v>
      </c>
      <c r="IO37" s="64">
        <v>0</v>
      </c>
      <c r="IP37" s="64">
        <f t="shared" si="143"/>
        <v>9.2475599999999977E-2</v>
      </c>
      <c r="IQ37" s="64">
        <f t="shared" si="144"/>
        <v>0.26732846715328468</v>
      </c>
      <c r="IR37" s="64">
        <f t="shared" si="145"/>
        <v>0.10239635036496358</v>
      </c>
      <c r="IS37" s="64">
        <f t="shared" si="146"/>
        <v>4.9408029197080268E-2</v>
      </c>
      <c r="IT37" s="64">
        <f t="shared" si="147"/>
        <v>7.3575000000000015E-2</v>
      </c>
      <c r="IU37" s="64">
        <f t="shared" si="148"/>
        <v>2.1695192307692256E-2</v>
      </c>
      <c r="IV37" s="64">
        <f t="shared" si="149"/>
        <v>6.8124999999999766E-3</v>
      </c>
      <c r="IW37" s="280">
        <f t="shared" si="150"/>
        <v>2.8252799999999939E-2</v>
      </c>
      <c r="IX37" s="3">
        <f t="shared" si="151"/>
        <v>0.15249999999999986</v>
      </c>
      <c r="IY37">
        <f t="shared" si="36"/>
        <v>2047</v>
      </c>
      <c r="IZ37" s="3">
        <f t="shared" si="152"/>
        <v>16.749565308347375</v>
      </c>
      <c r="JA37" s="353">
        <f>HLOOKUP($JG$3,'Timing calculations'!JH$8:JT$39,30,FALSE)</f>
        <v>14.239029579272128</v>
      </c>
      <c r="JB37" s="3">
        <f t="shared" si="153"/>
        <v>27.859999999999996</v>
      </c>
      <c r="JC37" s="353">
        <f t="shared" si="154"/>
        <v>29.326315789473682</v>
      </c>
      <c r="JD37" s="418">
        <f t="shared" si="37"/>
        <v>0.15250000000000014</v>
      </c>
      <c r="JE37" s="368">
        <f t="shared" si="155"/>
        <v>12.672499999999996</v>
      </c>
      <c r="JF37" s="369">
        <f t="shared" si="156"/>
        <v>13.339473684210523</v>
      </c>
      <c r="JG37" s="363">
        <f t="shared" si="157"/>
        <v>12.718972510259592</v>
      </c>
      <c r="JH37" s="362">
        <f t="shared" si="38"/>
        <v>13.388392116062729</v>
      </c>
      <c r="JI37" s="366">
        <f t="shared" si="39"/>
        <v>13.52707810030852</v>
      </c>
      <c r="JJ37" s="367">
        <f t="shared" si="9"/>
        <v>14.239029579272128</v>
      </c>
      <c r="JK37" s="363">
        <f t="shared" si="40"/>
        <v>14.335183690357448</v>
      </c>
      <c r="JL37" s="362">
        <f t="shared" si="41"/>
        <v>15.089667042481524</v>
      </c>
      <c r="JM37" s="366">
        <f t="shared" si="158"/>
        <v>15.143289280406378</v>
      </c>
      <c r="JN37" s="367">
        <f t="shared" si="42"/>
        <v>15.940304505690925</v>
      </c>
      <c r="JO37" s="363">
        <f t="shared" si="159"/>
        <v>15.951394870455308</v>
      </c>
      <c r="JP37" s="362">
        <f t="shared" si="43"/>
        <v>16.790941968900324</v>
      </c>
      <c r="JQ37" s="366">
        <f t="shared" si="160"/>
        <v>16.350480089401344</v>
      </c>
      <c r="JR37" s="367">
        <f t="shared" si="44"/>
        <v>17.211031673054048</v>
      </c>
      <c r="JS37" s="363">
        <f t="shared" si="161"/>
        <v>16.749565308347375</v>
      </c>
      <c r="JT37" s="362">
        <f t="shared" si="45"/>
        <v>17.631121377207762</v>
      </c>
    </row>
    <row r="38" spans="1:282">
      <c r="A38" s="259">
        <f>'1 StrategyMix for CarbonTargets'!V38</f>
        <v>0.9</v>
      </c>
      <c r="B38" s="247"/>
      <c r="C38" s="247"/>
      <c r="D38" s="247"/>
      <c r="E38" s="247"/>
      <c r="F38" s="247"/>
      <c r="G38" s="235">
        <v>0.1</v>
      </c>
      <c r="H38" s="64">
        <f>$B78*(1-H$3-H$16-H$19-H$22-H$25-H$31-H$32-H$33)</f>
        <v>3.8904494608695613E-2</v>
      </c>
      <c r="I38" s="64">
        <f>$B78*(1-I$3-I$16-I$19-I$22-I$25-I$31-I$32-I$33)</f>
        <v>3.8963939652173894E-2</v>
      </c>
      <c r="J38" s="64">
        <f>$B78*(1-J$3-J$16-J$19-J$22-J$25-J$31-J$32-J$33)</f>
        <v>3.8794749913043457E-2</v>
      </c>
      <c r="K38" s="64"/>
      <c r="M38" s="235">
        <v>0.1</v>
      </c>
      <c r="N38" s="235"/>
      <c r="O38" s="64">
        <f>$B101*(1-H$3-H$16-H$19-H$22-H$25-H$31-H$32-H$33)</f>
        <v>1.988800486956524E-2</v>
      </c>
      <c r="P38" s="64">
        <f>$B101*(1-I$3-I$16-I$19-I$22-I$25-I$31-I$32-I$33)</f>
        <v>1.9918393217391337E-2</v>
      </c>
      <c r="Q38" s="64">
        <f>$B101*(1-J$3-J$16-J$19-J$22-J$25-J$31-J$32-J$33)</f>
        <v>1.9831903304347857E-2</v>
      </c>
      <c r="AO38" s="89">
        <v>2048</v>
      </c>
      <c r="AP38" s="170">
        <f t="shared" si="185"/>
        <v>-2.6879999999999994E-2</v>
      </c>
      <c r="AQ38" s="170">
        <f t="shared" si="185"/>
        <v>-6.500000000000004E-3</v>
      </c>
      <c r="AR38" s="170">
        <f t="shared" si="185"/>
        <v>-2.0769230769230766E-2</v>
      </c>
      <c r="AS38" s="170">
        <f t="shared" si="185"/>
        <v>-6.7500000000000004E-2</v>
      </c>
      <c r="AU38" s="170">
        <f t="shared" si="186"/>
        <v>-4.700729927007298E-2</v>
      </c>
      <c r="AV38" s="170">
        <f t="shared" si="186"/>
        <v>-9.7420924574209311E-2</v>
      </c>
      <c r="AW38" s="170">
        <f t="shared" si="186"/>
        <v>-0.24525547445255474</v>
      </c>
      <c r="AY38" s="170">
        <f t="shared" si="164"/>
        <v>-8.4839999999999971E-2</v>
      </c>
      <c r="AZ38" s="278">
        <f t="shared" si="165"/>
        <v>8.4839999999999968E-3</v>
      </c>
      <c r="BA38" s="284">
        <f t="shared" si="166"/>
        <v>-3.7530560139130413E-2</v>
      </c>
      <c r="BB38" s="276">
        <f t="shared" si="167"/>
        <v>-3.8794749913043457E-2</v>
      </c>
      <c r="BC38" s="277">
        <f t="shared" si="10"/>
        <v>-3.7530560139130413E-2</v>
      </c>
      <c r="BD38" s="278">
        <f t="shared" si="168"/>
        <v>8.4839999999999968E-3</v>
      </c>
      <c r="BE38" s="284">
        <f t="shared" si="169"/>
        <v>-3.7530560139130455E-2</v>
      </c>
      <c r="BF38" s="276">
        <f t="shared" si="170"/>
        <v>-3.8794749913043457E-2</v>
      </c>
      <c r="BG38" s="277">
        <f t="shared" si="11"/>
        <v>-3.7530560139130455E-2</v>
      </c>
      <c r="BH38" s="278">
        <f t="shared" si="171"/>
        <v>1.6967999999999994E-2</v>
      </c>
      <c r="BI38" s="284">
        <f t="shared" si="172"/>
        <v>-7.5061120278260895E-2</v>
      </c>
      <c r="BJ38" s="276">
        <f t="shared" si="173"/>
        <v>-7.7589499826087024E-2</v>
      </c>
      <c r="BK38" s="277">
        <f t="shared" si="12"/>
        <v>-7.5061120278260895E-2</v>
      </c>
      <c r="BL38" s="278">
        <f t="shared" si="174"/>
        <v>1.6967999999999994E-2</v>
      </c>
      <c r="BM38" s="284">
        <f t="shared" si="175"/>
        <v>-7.5061120278260854E-2</v>
      </c>
      <c r="BN38" s="276">
        <f t="shared" si="176"/>
        <v>-7.7589499826086886E-2</v>
      </c>
      <c r="BO38" s="277">
        <f t="shared" si="13"/>
        <v>-7.5061120278260854E-2</v>
      </c>
      <c r="BP38" s="278">
        <f t="shared" si="177"/>
        <v>1.6967999999999994E-2</v>
      </c>
      <c r="BQ38" s="284">
        <f t="shared" si="178"/>
        <v>-7.5061120278260909E-2</v>
      </c>
      <c r="BR38" s="276">
        <f t="shared" si="179"/>
        <v>-7.7589499826086997E-2</v>
      </c>
      <c r="BS38" s="277">
        <f t="shared" si="14"/>
        <v>-7.5061120278260909E-2</v>
      </c>
      <c r="BT38" s="278">
        <f t="shared" si="180"/>
        <v>1.6967999999999994E-2</v>
      </c>
      <c r="BU38" s="284">
        <f t="shared" si="181"/>
        <v>-7.5061120278260854E-2</v>
      </c>
      <c r="BV38" s="276">
        <f t="shared" si="182"/>
        <v>-7.7589499826086941E-2</v>
      </c>
      <c r="BW38" s="278">
        <f t="shared" si="15"/>
        <v>-7.5061120278260854E-2</v>
      </c>
      <c r="BX38" s="391">
        <f t="shared" si="46"/>
        <v>-1.6968E-2</v>
      </c>
      <c r="BY38" s="392">
        <f t="shared" si="47"/>
        <v>-0.30024448111304353</v>
      </c>
      <c r="BZ38" s="278"/>
      <c r="CB38" s="279">
        <f t="shared" si="183"/>
        <v>-0.59617292906606778</v>
      </c>
      <c r="CC38" s="64">
        <f t="shared" si="17"/>
        <v>-0.6252194892051981</v>
      </c>
      <c r="CD38" s="64">
        <f t="shared" si="18"/>
        <v>-0.65426604934432853</v>
      </c>
      <c r="CE38" s="64">
        <f t="shared" si="19"/>
        <v>-0.71235916962258949</v>
      </c>
      <c r="CF38" s="64">
        <f t="shared" si="20"/>
        <v>-0.77045228990085035</v>
      </c>
      <c r="CG38" s="64">
        <f t="shared" si="21"/>
        <v>-0.82854541017911132</v>
      </c>
      <c r="CH38" s="64">
        <f t="shared" si="22"/>
        <v>-0.88663853045737218</v>
      </c>
      <c r="CI38">
        <v>2048</v>
      </c>
      <c r="CJ38" s="240"/>
      <c r="CL38">
        <v>2048</v>
      </c>
      <c r="CM38" s="3">
        <f t="shared" si="48"/>
        <v>0.95</v>
      </c>
      <c r="CN38" s="64">
        <f t="shared" si="23"/>
        <v>0.92311999999999994</v>
      </c>
      <c r="CO38" s="64">
        <f t="shared" si="23"/>
        <v>0.91661999999999999</v>
      </c>
      <c r="CP38" s="64">
        <f t="shared" si="23"/>
        <v>0.89585076923076923</v>
      </c>
      <c r="CQ38" s="64">
        <f t="shared" si="23"/>
        <v>0.82835076923076922</v>
      </c>
      <c r="CR38" s="64">
        <f t="shared" si="24"/>
        <v>0.78134346996069626</v>
      </c>
      <c r="CS38" s="64">
        <f t="shared" si="24"/>
        <v>0.683922545386487</v>
      </c>
      <c r="CT38" s="64">
        <f t="shared" si="24"/>
        <v>0.43866707093393226</v>
      </c>
      <c r="CU38" s="64">
        <f t="shared" si="25"/>
        <v>0.35382707093393229</v>
      </c>
      <c r="CV38" s="64">
        <f t="shared" si="25"/>
        <v>0.36231107093393228</v>
      </c>
      <c r="CW38" s="65">
        <f t="shared" si="49"/>
        <v>0.32478051079480186</v>
      </c>
      <c r="CX38" s="64">
        <f t="shared" si="50"/>
        <v>0.37079507093393227</v>
      </c>
      <c r="CY38" s="65">
        <f t="shared" si="51"/>
        <v>0.29573395065567137</v>
      </c>
      <c r="CZ38" s="64">
        <f t="shared" si="52"/>
        <v>0.38776307093393225</v>
      </c>
      <c r="DA38" s="65">
        <f t="shared" si="53"/>
        <v>0.23764083037741046</v>
      </c>
      <c r="DB38" s="64">
        <f t="shared" si="54"/>
        <v>0.40473107093393224</v>
      </c>
      <c r="DC38" s="65">
        <f t="shared" si="55"/>
        <v>0.1795477100991496</v>
      </c>
      <c r="DD38" s="64">
        <f t="shared" si="56"/>
        <v>0.42169907093393222</v>
      </c>
      <c r="DE38" s="65">
        <f t="shared" si="57"/>
        <v>0.12145458982088868</v>
      </c>
      <c r="DF38" s="64">
        <f t="shared" si="58"/>
        <v>0.4386670709339322</v>
      </c>
      <c r="DG38" s="65">
        <f t="shared" si="59"/>
        <v>6.3361469542627821E-2</v>
      </c>
      <c r="DL38">
        <v>2048</v>
      </c>
      <c r="DM38" s="64">
        <f t="shared" si="60"/>
        <v>6.3361469542627821E-2</v>
      </c>
      <c r="DN38" s="64">
        <f t="shared" si="61"/>
        <v>0.12145458982088868</v>
      </c>
      <c r="DO38" s="64">
        <f t="shared" si="62"/>
        <v>0.1795477100991496</v>
      </c>
      <c r="DP38" s="64">
        <f t="shared" si="63"/>
        <v>0.23764083037741046</v>
      </c>
      <c r="DQ38" s="64">
        <f t="shared" si="64"/>
        <v>0.29573395065567137</v>
      </c>
      <c r="DR38" s="64">
        <f t="shared" si="65"/>
        <v>0.32478051079480186</v>
      </c>
      <c r="DS38" s="64">
        <f t="shared" si="26"/>
        <v>0.35382707093393229</v>
      </c>
      <c r="DT38" s="64">
        <f t="shared" si="27"/>
        <v>0.43866707093393226</v>
      </c>
      <c r="DU38" s="64">
        <f t="shared" si="28"/>
        <v>0.683922545386487</v>
      </c>
      <c r="DV38" s="64">
        <f t="shared" si="29"/>
        <v>0.78134346996069626</v>
      </c>
      <c r="DW38" s="64">
        <f t="shared" si="30"/>
        <v>0.82835076923076922</v>
      </c>
      <c r="DX38" s="64">
        <f t="shared" si="31"/>
        <v>0.89585076923076923</v>
      </c>
      <c r="DY38" s="64">
        <f t="shared" si="32"/>
        <v>0.91661999999999999</v>
      </c>
      <c r="DZ38" s="64">
        <f t="shared" si="33"/>
        <v>0.92311999999999994</v>
      </c>
      <c r="EA38" s="3">
        <f t="shared" si="66"/>
        <v>0.95</v>
      </c>
      <c r="EB38">
        <v>2048</v>
      </c>
      <c r="EC38" s="269">
        <f t="shared" si="67"/>
        <v>6.3361469542627891E-2</v>
      </c>
      <c r="ED38" s="269">
        <f t="shared" si="68"/>
        <v>0.05</v>
      </c>
      <c r="EE38" s="64">
        <f t="shared" si="184"/>
        <v>5.8093120278260857E-2</v>
      </c>
      <c r="EF38" s="64">
        <f t="shared" si="184"/>
        <v>5.8093120278260926E-2</v>
      </c>
      <c r="EG38" s="64">
        <f t="shared" si="184"/>
        <v>5.8093120278260857E-2</v>
      </c>
      <c r="EH38" s="64">
        <f t="shared" si="184"/>
        <v>5.8093120278260912E-2</v>
      </c>
      <c r="EI38" s="64">
        <f t="shared" si="184"/>
        <v>2.9046560139130484E-2</v>
      </c>
      <c r="EJ38" s="64">
        <f t="shared" si="184"/>
        <v>2.9046560139130428E-2</v>
      </c>
      <c r="EK38" s="64">
        <f t="shared" si="184"/>
        <v>8.4839999999999971E-2</v>
      </c>
      <c r="EL38" s="64">
        <f t="shared" si="184"/>
        <v>0.24525547445255474</v>
      </c>
      <c r="EM38" s="64">
        <f t="shared" si="184"/>
        <v>9.7420924574209256E-2</v>
      </c>
      <c r="EN38" s="64">
        <f t="shared" si="184"/>
        <v>4.7007299270072966E-2</v>
      </c>
      <c r="EO38" s="64">
        <f t="shared" si="184"/>
        <v>6.7500000000000004E-2</v>
      </c>
      <c r="EP38" s="64">
        <f t="shared" si="184"/>
        <v>2.0769230769230762E-2</v>
      </c>
      <c r="EQ38" s="64">
        <f t="shared" si="184"/>
        <v>6.4999999999999503E-3</v>
      </c>
      <c r="ER38" s="64">
        <f t="shared" si="184"/>
        <v>2.6880000000000015E-2</v>
      </c>
      <c r="EX38" s="89">
        <v>2048</v>
      </c>
      <c r="EY38" s="278">
        <f t="shared" si="69"/>
        <v>1.0433333333333332</v>
      </c>
      <c r="EZ38" s="278"/>
      <c r="FA38" s="278">
        <f t="shared" si="70"/>
        <v>7.3941873366606625E-2</v>
      </c>
      <c r="FB38" s="278">
        <f t="shared" si="35"/>
        <v>0.05</v>
      </c>
      <c r="FC38" s="64">
        <f t="shared" si="71"/>
        <v>0.410334124187826</v>
      </c>
      <c r="FD38" s="64">
        <f t="shared" si="72"/>
        <v>7.5865240016052344E-18</v>
      </c>
      <c r="FE38" s="64">
        <f t="shared" si="73"/>
        <v>0.26814598540145979</v>
      </c>
      <c r="FF38" s="64">
        <f t="shared" si="74"/>
        <v>0.10651354420113543</v>
      </c>
      <c r="FG38" s="64">
        <f t="shared" si="75"/>
        <v>5.1394647201946426E-2</v>
      </c>
      <c r="FH38" s="64">
        <f t="shared" si="76"/>
        <v>7.3799999999999991E-2</v>
      </c>
      <c r="FI38" s="64">
        <f t="shared" si="77"/>
        <v>2.2707692307692293E-2</v>
      </c>
      <c r="FJ38" s="64">
        <f t="shared" si="78"/>
        <v>7.1066666666666101E-3</v>
      </c>
      <c r="FK38" s="280">
        <f t="shared" si="79"/>
        <v>2.938880000000001E-2</v>
      </c>
      <c r="FL38" s="64"/>
      <c r="FM38" s="89">
        <v>2048</v>
      </c>
      <c r="FN38" s="278">
        <f t="shared" si="80"/>
        <v>1.0433333333333332</v>
      </c>
      <c r="FP38" s="278">
        <f t="shared" si="81"/>
        <v>0.13745701820417189</v>
      </c>
      <c r="FQ38" s="278">
        <f t="shared" si="82"/>
        <v>0.05</v>
      </c>
      <c r="FR38" s="64">
        <f t="shared" si="83"/>
        <v>0.32826729935026083</v>
      </c>
      <c r="FS38" s="64">
        <f t="shared" si="84"/>
        <v>1.8551679999999994E-2</v>
      </c>
      <c r="FT38" s="64">
        <f t="shared" si="85"/>
        <v>0.26814598540145979</v>
      </c>
      <c r="FU38" s="64">
        <f t="shared" si="86"/>
        <v>0.10651354420113543</v>
      </c>
      <c r="FV38" s="64">
        <f t="shared" si="87"/>
        <v>5.1394647201946426E-2</v>
      </c>
      <c r="FW38" s="64">
        <f t="shared" si="88"/>
        <v>7.3799999999999991E-2</v>
      </c>
      <c r="FX38" s="64">
        <f t="shared" si="89"/>
        <v>2.2707692307692293E-2</v>
      </c>
      <c r="FY38" s="64">
        <f t="shared" si="90"/>
        <v>7.1066666666666101E-3</v>
      </c>
      <c r="FZ38" s="280">
        <f t="shared" si="91"/>
        <v>2.938880000000001E-2</v>
      </c>
      <c r="GA38" s="64"/>
      <c r="GB38" s="89">
        <v>2048</v>
      </c>
      <c r="GC38" s="278">
        <f t="shared" si="92"/>
        <v>1.0433333333333332</v>
      </c>
      <c r="GE38" s="278">
        <f t="shared" si="93"/>
        <v>0.20097216304173715</v>
      </c>
      <c r="GF38" s="278">
        <f t="shared" si="94"/>
        <v>0.05</v>
      </c>
      <c r="GG38" s="64">
        <f t="shared" si="95"/>
        <v>0.24620047451269561</v>
      </c>
      <c r="GH38" s="64">
        <f t="shared" si="96"/>
        <v>3.7103359999999981E-2</v>
      </c>
      <c r="GI38" s="64">
        <f t="shared" si="97"/>
        <v>0.26814598540145979</v>
      </c>
      <c r="GJ38" s="64">
        <f t="shared" si="98"/>
        <v>0.10651354420113543</v>
      </c>
      <c r="GK38" s="64">
        <f t="shared" si="99"/>
        <v>5.1394647201946426E-2</v>
      </c>
      <c r="GL38" s="64">
        <f t="shared" si="100"/>
        <v>7.3799999999999991E-2</v>
      </c>
      <c r="GM38" s="64">
        <f t="shared" si="101"/>
        <v>2.2707692307692293E-2</v>
      </c>
      <c r="GN38" s="64">
        <f t="shared" si="102"/>
        <v>7.1066666666666101E-3</v>
      </c>
      <c r="GO38" s="280">
        <f t="shared" si="103"/>
        <v>2.938880000000001E-2</v>
      </c>
      <c r="GP38" s="64"/>
      <c r="GQ38" s="89">
        <v>2048</v>
      </c>
      <c r="GR38" s="278">
        <f t="shared" si="104"/>
        <v>1.0433333333333332</v>
      </c>
      <c r="GT38" s="278">
        <f t="shared" si="105"/>
        <v>0.2644873078793023</v>
      </c>
      <c r="GU38" s="278">
        <f t="shared" si="106"/>
        <v>0.05</v>
      </c>
      <c r="GV38" s="64">
        <f t="shared" si="107"/>
        <v>0.16413364967513042</v>
      </c>
      <c r="GW38" s="64">
        <f t="shared" si="108"/>
        <v>5.5655039999999975E-2</v>
      </c>
      <c r="GX38" s="64">
        <f t="shared" si="109"/>
        <v>0.26814598540145979</v>
      </c>
      <c r="GY38" s="64">
        <f t="shared" si="110"/>
        <v>0.10651354420113543</v>
      </c>
      <c r="GZ38" s="64">
        <f t="shared" si="111"/>
        <v>5.1394647201946426E-2</v>
      </c>
      <c r="HA38" s="64">
        <f t="shared" si="112"/>
        <v>7.3799999999999991E-2</v>
      </c>
      <c r="HB38" s="64">
        <f t="shared" si="113"/>
        <v>2.2707692307692293E-2</v>
      </c>
      <c r="HC38" s="64">
        <f t="shared" si="114"/>
        <v>7.1066666666666101E-3</v>
      </c>
      <c r="HD38" s="280">
        <f t="shared" si="115"/>
        <v>2.938880000000001E-2</v>
      </c>
      <c r="HE38" s="64"/>
      <c r="HF38" s="89">
        <v>2048</v>
      </c>
      <c r="HG38" s="278">
        <f t="shared" si="116"/>
        <v>1.0433333333333332</v>
      </c>
      <c r="HI38" s="278">
        <f t="shared" si="117"/>
        <v>0.32800245271686757</v>
      </c>
      <c r="HJ38" s="278">
        <f t="shared" si="118"/>
        <v>0.05</v>
      </c>
      <c r="HK38" s="64">
        <f t="shared" si="119"/>
        <v>8.2066824837565194E-2</v>
      </c>
      <c r="HL38" s="64">
        <f t="shared" si="120"/>
        <v>7.4206719999999962E-2</v>
      </c>
      <c r="HM38" s="64">
        <f t="shared" si="121"/>
        <v>0.26814598540145979</v>
      </c>
      <c r="HN38" s="64">
        <f t="shared" si="122"/>
        <v>0.10651354420113543</v>
      </c>
      <c r="HO38" s="64">
        <f t="shared" si="123"/>
        <v>5.1394647201946426E-2</v>
      </c>
      <c r="HP38" s="64">
        <f t="shared" si="124"/>
        <v>7.3799999999999991E-2</v>
      </c>
      <c r="HQ38" s="64">
        <f t="shared" si="125"/>
        <v>2.2707692307692293E-2</v>
      </c>
      <c r="HR38" s="64">
        <f t="shared" si="126"/>
        <v>7.1066666666666101E-3</v>
      </c>
      <c r="HS38" s="280">
        <f t="shared" si="127"/>
        <v>2.938880000000001E-2</v>
      </c>
      <c r="HT38" s="64"/>
      <c r="HU38" s="89">
        <v>2048</v>
      </c>
      <c r="HV38" s="278">
        <f t="shared" si="128"/>
        <v>1.0433333333333332</v>
      </c>
      <c r="HX38" s="278">
        <f t="shared" si="129"/>
        <v>0.3597600251356502</v>
      </c>
      <c r="HY38" s="278">
        <f t="shared" si="130"/>
        <v>0.05</v>
      </c>
      <c r="HZ38" s="64">
        <f t="shared" si="131"/>
        <v>4.1033412418782576E-2</v>
      </c>
      <c r="IA38" s="64">
        <f t="shared" si="132"/>
        <v>8.3482559999999956E-2</v>
      </c>
      <c r="IB38" s="64">
        <f t="shared" si="133"/>
        <v>0.26814598540145979</v>
      </c>
      <c r="IC38" s="64">
        <f t="shared" si="134"/>
        <v>0.10651354420113543</v>
      </c>
      <c r="ID38" s="64">
        <f t="shared" si="135"/>
        <v>5.1394647201946426E-2</v>
      </c>
      <c r="IE38" s="64">
        <f t="shared" si="136"/>
        <v>7.3799999999999991E-2</v>
      </c>
      <c r="IF38" s="64">
        <f t="shared" si="137"/>
        <v>2.2707692307692293E-2</v>
      </c>
      <c r="IG38" s="64">
        <f t="shared" si="138"/>
        <v>7.1066666666666101E-3</v>
      </c>
      <c r="IH38" s="280">
        <f t="shared" si="139"/>
        <v>2.938880000000001E-2</v>
      </c>
      <c r="II38" s="64"/>
      <c r="IJ38" s="89">
        <v>2048</v>
      </c>
      <c r="IK38" s="278">
        <f t="shared" si="140"/>
        <v>1.0433333333333332</v>
      </c>
      <c r="IM38" s="278">
        <f t="shared" si="141"/>
        <v>0.39151759755443272</v>
      </c>
      <c r="IN38" s="278">
        <f t="shared" si="142"/>
        <v>0.05</v>
      </c>
      <c r="IO38" s="64">
        <v>0</v>
      </c>
      <c r="IP38" s="64">
        <f t="shared" si="143"/>
        <v>9.2758399999999949E-2</v>
      </c>
      <c r="IQ38" s="64">
        <f t="shared" si="144"/>
        <v>0.26814598540145979</v>
      </c>
      <c r="IR38" s="64">
        <f t="shared" si="145"/>
        <v>0.10651354420113543</v>
      </c>
      <c r="IS38" s="64">
        <f t="shared" si="146"/>
        <v>5.1394647201946426E-2</v>
      </c>
      <c r="IT38" s="64">
        <f t="shared" si="147"/>
        <v>7.3799999999999991E-2</v>
      </c>
      <c r="IU38" s="64">
        <f t="shared" si="148"/>
        <v>2.2707692307692293E-2</v>
      </c>
      <c r="IV38" s="64">
        <f t="shared" si="149"/>
        <v>7.1066666666666101E-3</v>
      </c>
      <c r="IW38" s="280">
        <f t="shared" si="150"/>
        <v>2.938880000000001E-2</v>
      </c>
      <c r="IX38" s="3">
        <f t="shared" si="151"/>
        <v>0.13499999999999979</v>
      </c>
      <c r="IY38">
        <f t="shared" si="36"/>
        <v>2048</v>
      </c>
      <c r="IZ38" s="3">
        <f t="shared" si="152"/>
        <v>17.141082905901808</v>
      </c>
      <c r="JA38" s="353">
        <f>HLOOKUP($JG$3,'Timing calculations'!JH$8:JT$39,31,FALSE)</f>
        <v>14.383721177381782</v>
      </c>
      <c r="JB38" s="3">
        <f t="shared" si="153"/>
        <v>28.903333333333329</v>
      </c>
      <c r="JC38" s="353">
        <f t="shared" si="154"/>
        <v>30.424561403508768</v>
      </c>
      <c r="JD38" s="418">
        <f t="shared" si="37"/>
        <v>0.13500000000000015</v>
      </c>
      <c r="JE38" s="368">
        <f t="shared" si="155"/>
        <v>12.807499999999996</v>
      </c>
      <c r="JF38" s="369">
        <f t="shared" si="156"/>
        <v>13.481578947368417</v>
      </c>
      <c r="JG38" s="363">
        <f t="shared" si="157"/>
        <v>12.792914383626199</v>
      </c>
      <c r="JH38" s="362">
        <f t="shared" si="38"/>
        <v>13.466225666974946</v>
      </c>
      <c r="JI38" s="366">
        <f t="shared" si="39"/>
        <v>13.664535118512692</v>
      </c>
      <c r="JJ38" s="367">
        <f t="shared" si="9"/>
        <v>14.383721177381782</v>
      </c>
      <c r="JK38" s="363">
        <f t="shared" si="40"/>
        <v>14.536155853399185</v>
      </c>
      <c r="JL38" s="362">
        <f t="shared" si="41"/>
        <v>15.301216687788617</v>
      </c>
      <c r="JM38" s="366">
        <f t="shared" si="158"/>
        <v>15.40777658828568</v>
      </c>
      <c r="JN38" s="367">
        <f t="shared" si="42"/>
        <v>16.218712198195455</v>
      </c>
      <c r="JO38" s="363">
        <f t="shared" si="159"/>
        <v>16.279397323172176</v>
      </c>
      <c r="JP38" s="362">
        <f t="shared" si="43"/>
        <v>17.136207708602292</v>
      </c>
      <c r="JQ38" s="366">
        <f t="shared" si="160"/>
        <v>16.710240114536994</v>
      </c>
      <c r="JR38" s="367">
        <f t="shared" si="44"/>
        <v>17.589726436354731</v>
      </c>
      <c r="JS38" s="363">
        <f t="shared" si="161"/>
        <v>17.141082905901808</v>
      </c>
      <c r="JT38" s="362">
        <f t="shared" si="45"/>
        <v>18.043245164107166</v>
      </c>
    </row>
    <row r="39" spans="1:282">
      <c r="A39" s="689" t="s">
        <v>176</v>
      </c>
      <c r="B39" s="689"/>
      <c r="C39" s="689"/>
      <c r="D39" s="689"/>
      <c r="E39" s="689"/>
      <c r="F39" s="689"/>
      <c r="G39" s="235">
        <v>0.2</v>
      </c>
      <c r="H39" s="64">
        <f>$C78*(1-H$3-H$16-H$19-H$22-H$25-H$31-H$32-H$33)</f>
        <v>7.7808989217391225E-2</v>
      </c>
      <c r="I39" s="64">
        <f>$C78*(1-I$3-I$16-I$19-I$22-I$25-I$31-I$32-I$33)</f>
        <v>7.7927879304347789E-2</v>
      </c>
      <c r="J39" s="64">
        <f>$C78*(1-J$3-J$16-J$19-J$22-J$25-J$31-J$32-J$33)</f>
        <v>7.7589499826086913E-2</v>
      </c>
      <c r="K39" s="64"/>
      <c r="M39" s="235">
        <v>0.2</v>
      </c>
      <c r="N39" s="235"/>
      <c r="O39" s="64">
        <f>$C101*(1-H$3-H$16-H$19-H$22-H$25-H$31-H$32-H$33)</f>
        <v>3.977600973913039E-2</v>
      </c>
      <c r="P39" s="64">
        <f>$C101*(1-I$3-I$16-I$19-I$22-I$25-I$31-I$32-I$33)</f>
        <v>3.9836786434782584E-2</v>
      </c>
      <c r="Q39" s="64">
        <f>$C101*(1-J$3-J$16-J$19-J$22-J$25-J$31-J$32-J$33)</f>
        <v>3.9663806608695625E-2</v>
      </c>
      <c r="AO39" s="89">
        <v>2049</v>
      </c>
      <c r="AP39" s="170">
        <f t="shared" si="185"/>
        <v>-2.7839999999999993E-2</v>
      </c>
      <c r="AQ39" s="170">
        <f t="shared" si="185"/>
        <v>-6.7500000000000043E-3</v>
      </c>
      <c r="AR39" s="170">
        <f t="shared" si="185"/>
        <v>-2.1634615384615381E-2</v>
      </c>
      <c r="AS39" s="170">
        <f t="shared" si="185"/>
        <v>-6.7500000000000004E-2</v>
      </c>
      <c r="AU39" s="170">
        <f t="shared" si="186"/>
        <v>-4.86861313868613E-2</v>
      </c>
      <c r="AV39" s="170">
        <f t="shared" si="186"/>
        <v>-0.1009002433090025</v>
      </c>
      <c r="AW39" s="170">
        <f t="shared" si="186"/>
        <v>-0.24525547445255474</v>
      </c>
      <c r="AY39" s="170">
        <f t="shared" si="164"/>
        <v>-8.4839999999999971E-2</v>
      </c>
      <c r="AZ39" s="278">
        <f t="shared" si="165"/>
        <v>8.4839999999999968E-3</v>
      </c>
      <c r="BA39" s="284">
        <f t="shared" si="166"/>
        <v>-3.8162655026086935E-2</v>
      </c>
      <c r="BB39" s="276">
        <f t="shared" si="167"/>
        <v>-3.8794749913043457E-2</v>
      </c>
      <c r="BC39" s="277">
        <f t="shared" si="10"/>
        <v>-3.8162655026086935E-2</v>
      </c>
      <c r="BD39" s="278">
        <f t="shared" si="168"/>
        <v>8.4839999999999968E-3</v>
      </c>
      <c r="BE39" s="284">
        <f t="shared" si="169"/>
        <v>-3.8162655026086977E-2</v>
      </c>
      <c r="BF39" s="276">
        <f t="shared" si="170"/>
        <v>-3.8794749913043457E-2</v>
      </c>
      <c r="BG39" s="277">
        <f t="shared" si="11"/>
        <v>-3.8162655026086977E-2</v>
      </c>
      <c r="BH39" s="278">
        <f t="shared" si="171"/>
        <v>1.6967999999999994E-2</v>
      </c>
      <c r="BI39" s="284">
        <f t="shared" si="172"/>
        <v>-7.6325310052173939E-2</v>
      </c>
      <c r="BJ39" s="276">
        <f t="shared" si="173"/>
        <v>-7.7589499826087024E-2</v>
      </c>
      <c r="BK39" s="277">
        <f t="shared" si="12"/>
        <v>-7.6325310052173939E-2</v>
      </c>
      <c r="BL39" s="278">
        <f t="shared" si="174"/>
        <v>1.6967999999999994E-2</v>
      </c>
      <c r="BM39" s="284">
        <f t="shared" si="175"/>
        <v>-7.6325310052173898E-2</v>
      </c>
      <c r="BN39" s="276">
        <f t="shared" si="176"/>
        <v>-7.7589499826086886E-2</v>
      </c>
      <c r="BO39" s="277">
        <f t="shared" si="13"/>
        <v>-7.6325310052173898E-2</v>
      </c>
      <c r="BP39" s="278">
        <f t="shared" si="177"/>
        <v>1.6967999999999994E-2</v>
      </c>
      <c r="BQ39" s="284">
        <f t="shared" si="178"/>
        <v>-7.6325310052173953E-2</v>
      </c>
      <c r="BR39" s="276">
        <f t="shared" si="179"/>
        <v>-7.7589499826086997E-2</v>
      </c>
      <c r="BS39" s="277">
        <f t="shared" si="14"/>
        <v>-7.6325310052173953E-2</v>
      </c>
      <c r="BT39" s="278">
        <f t="shared" si="180"/>
        <v>1.6967999999999994E-2</v>
      </c>
      <c r="BU39" s="284">
        <f t="shared" si="181"/>
        <v>-7.6325310052173898E-2</v>
      </c>
      <c r="BV39" s="276">
        <f t="shared" si="182"/>
        <v>-7.7589499826086941E-2</v>
      </c>
      <c r="BW39" s="278">
        <f t="shared" si="15"/>
        <v>-7.6325310052173898E-2</v>
      </c>
      <c r="BX39" s="391">
        <f t="shared" si="46"/>
        <v>-1.6968E-2</v>
      </c>
      <c r="BY39" s="392">
        <f t="shared" si="47"/>
        <v>-0.3053012402086957</v>
      </c>
      <c r="BZ39" s="278"/>
      <c r="CB39" s="279">
        <f t="shared" si="183"/>
        <v>-0.60340646453303393</v>
      </c>
      <c r="CC39" s="64">
        <f t="shared" si="17"/>
        <v>-0.63308511955912083</v>
      </c>
      <c r="CD39" s="64">
        <f t="shared" si="18"/>
        <v>-0.66276377458520774</v>
      </c>
      <c r="CE39" s="64">
        <f t="shared" si="19"/>
        <v>-0.72212108463738167</v>
      </c>
      <c r="CF39" s="64">
        <f t="shared" si="20"/>
        <v>-0.7814783946895556</v>
      </c>
      <c r="CG39" s="64">
        <f t="shared" si="21"/>
        <v>-0.84083570474172953</v>
      </c>
      <c r="CH39" s="64">
        <f t="shared" si="22"/>
        <v>-0.90019301479390346</v>
      </c>
      <c r="CI39">
        <v>2049</v>
      </c>
      <c r="CJ39" s="240"/>
      <c r="CL39">
        <v>2049</v>
      </c>
      <c r="CM39" s="3">
        <f t="shared" si="48"/>
        <v>0.95</v>
      </c>
      <c r="CN39" s="64">
        <f t="shared" si="23"/>
        <v>0.92215999999999998</v>
      </c>
      <c r="CO39" s="64">
        <f t="shared" si="23"/>
        <v>0.91540999999999995</v>
      </c>
      <c r="CP39" s="64">
        <f t="shared" si="23"/>
        <v>0.89377538461538453</v>
      </c>
      <c r="CQ39" s="64">
        <f t="shared" si="23"/>
        <v>0.82627538461538452</v>
      </c>
      <c r="CR39" s="64">
        <f t="shared" si="24"/>
        <v>0.77758925322852324</v>
      </c>
      <c r="CS39" s="64">
        <f t="shared" si="24"/>
        <v>0.67668900991952075</v>
      </c>
      <c r="CT39" s="64">
        <f t="shared" si="24"/>
        <v>0.431433535466966</v>
      </c>
      <c r="CU39" s="64">
        <f t="shared" si="25"/>
        <v>0.34659353546696603</v>
      </c>
      <c r="CV39" s="64">
        <f t="shared" si="25"/>
        <v>0.35507753546696602</v>
      </c>
      <c r="CW39" s="65">
        <f t="shared" si="49"/>
        <v>0.31691488044087907</v>
      </c>
      <c r="CX39" s="64">
        <f t="shared" si="50"/>
        <v>0.36356153546696601</v>
      </c>
      <c r="CY39" s="65">
        <f t="shared" si="51"/>
        <v>0.2872362254147921</v>
      </c>
      <c r="CZ39" s="64">
        <f t="shared" si="52"/>
        <v>0.380529535466966</v>
      </c>
      <c r="DA39" s="65">
        <f t="shared" si="53"/>
        <v>0.22787891536261815</v>
      </c>
      <c r="DB39" s="64">
        <f t="shared" si="54"/>
        <v>0.39749753546696598</v>
      </c>
      <c r="DC39" s="65">
        <f t="shared" si="55"/>
        <v>0.16852160531044424</v>
      </c>
      <c r="DD39" s="64">
        <f t="shared" si="56"/>
        <v>0.41446553546696596</v>
      </c>
      <c r="DE39" s="65">
        <f t="shared" si="57"/>
        <v>0.10916429525827027</v>
      </c>
      <c r="DF39" s="64">
        <f t="shared" si="58"/>
        <v>0.43143353546696595</v>
      </c>
      <c r="DG39" s="65">
        <f t="shared" si="59"/>
        <v>4.9806985206096346E-2</v>
      </c>
      <c r="DL39">
        <v>2049</v>
      </c>
      <c r="DM39" s="64">
        <f t="shared" si="60"/>
        <v>4.9806985206096346E-2</v>
      </c>
      <c r="DN39" s="64">
        <f t="shared" si="61"/>
        <v>0.10916429525827027</v>
      </c>
      <c r="DO39" s="64">
        <f t="shared" si="62"/>
        <v>0.16852160531044424</v>
      </c>
      <c r="DP39" s="64">
        <f t="shared" si="63"/>
        <v>0.22787891536261815</v>
      </c>
      <c r="DQ39" s="64">
        <f t="shared" si="64"/>
        <v>0.2872362254147921</v>
      </c>
      <c r="DR39" s="64">
        <f t="shared" si="65"/>
        <v>0.31691488044087907</v>
      </c>
      <c r="DS39" s="64">
        <f t="shared" si="26"/>
        <v>0.34659353546696603</v>
      </c>
      <c r="DT39" s="64">
        <f t="shared" si="27"/>
        <v>0.431433535466966</v>
      </c>
      <c r="DU39" s="64">
        <f t="shared" si="28"/>
        <v>0.67668900991952075</v>
      </c>
      <c r="DV39" s="64">
        <f t="shared" si="29"/>
        <v>0.77758925322852324</v>
      </c>
      <c r="DW39" s="64">
        <f t="shared" si="30"/>
        <v>0.82627538461538452</v>
      </c>
      <c r="DX39" s="64">
        <f t="shared" si="31"/>
        <v>0.89377538461538453</v>
      </c>
      <c r="DY39" s="64">
        <f t="shared" si="32"/>
        <v>0.91540999999999995</v>
      </c>
      <c r="DZ39" s="64">
        <f t="shared" si="33"/>
        <v>0.92215999999999998</v>
      </c>
      <c r="EA39" s="3">
        <f t="shared" si="66"/>
        <v>0.95</v>
      </c>
      <c r="EB39">
        <v>2049</v>
      </c>
      <c r="EC39" s="269">
        <f t="shared" si="67"/>
        <v>4.9806985206096388E-2</v>
      </c>
      <c r="ED39" s="269">
        <f t="shared" si="68"/>
        <v>0.05</v>
      </c>
      <c r="EE39" s="64">
        <f t="shared" si="184"/>
        <v>5.9357310052173928E-2</v>
      </c>
      <c r="EF39" s="64">
        <f t="shared" si="184"/>
        <v>5.935731005217397E-2</v>
      </c>
      <c r="EG39" s="64">
        <f t="shared" si="184"/>
        <v>5.9357310052173901E-2</v>
      </c>
      <c r="EH39" s="64">
        <f t="shared" si="184"/>
        <v>5.9357310052173956E-2</v>
      </c>
      <c r="EI39" s="64">
        <f t="shared" si="184"/>
        <v>2.9678655026086964E-2</v>
      </c>
      <c r="EJ39" s="64">
        <f t="shared" si="184"/>
        <v>2.9678655026086964E-2</v>
      </c>
      <c r="EK39" s="64">
        <f t="shared" si="184"/>
        <v>8.4839999999999971E-2</v>
      </c>
      <c r="EL39" s="64">
        <f t="shared" si="184"/>
        <v>0.24525547445255474</v>
      </c>
      <c r="EM39" s="64">
        <f t="shared" si="184"/>
        <v>0.10090024330900249</v>
      </c>
      <c r="EN39" s="64">
        <f t="shared" si="184"/>
        <v>4.8686131386861287E-2</v>
      </c>
      <c r="EO39" s="64">
        <f t="shared" si="184"/>
        <v>6.7500000000000004E-2</v>
      </c>
      <c r="EP39" s="64">
        <f t="shared" si="184"/>
        <v>2.1634615384615419E-2</v>
      </c>
      <c r="EQ39" s="64">
        <f t="shared" si="184"/>
        <v>6.7500000000000338E-3</v>
      </c>
      <c r="ER39" s="64">
        <f t="shared" si="184"/>
        <v>2.7839999999999976E-2</v>
      </c>
      <c r="EX39" s="89">
        <v>2049</v>
      </c>
      <c r="EY39" s="278">
        <f t="shared" si="69"/>
        <v>1.0466666666666666</v>
      </c>
      <c r="EZ39" s="278"/>
      <c r="FA39" s="278">
        <f t="shared" si="70"/>
        <v>5.9454993776018705E-2</v>
      </c>
      <c r="FB39" s="278">
        <f t="shared" si="35"/>
        <v>0.05</v>
      </c>
      <c r="FC39" s="64">
        <f t="shared" si="71"/>
        <v>0.41851711678608711</v>
      </c>
      <c r="FD39" s="64">
        <f t="shared" si="72"/>
        <v>7.6096536479515954E-18</v>
      </c>
      <c r="FE39" s="64">
        <f t="shared" si="73"/>
        <v>0.26896350364963512</v>
      </c>
      <c r="FF39" s="64">
        <f t="shared" si="74"/>
        <v>0.11065393349553942</v>
      </c>
      <c r="FG39" s="64">
        <f t="shared" si="75"/>
        <v>5.3392457420924556E-2</v>
      </c>
      <c r="FH39" s="64">
        <f t="shared" si="76"/>
        <v>7.4025000000000021E-2</v>
      </c>
      <c r="FI39" s="64">
        <f t="shared" si="77"/>
        <v>2.3725961538461581E-2</v>
      </c>
      <c r="FJ39" s="64">
        <f t="shared" si="78"/>
        <v>7.4025000000000384E-3</v>
      </c>
      <c r="FK39" s="280">
        <f t="shared" si="79"/>
        <v>3.0531199999999981E-2</v>
      </c>
      <c r="FL39" s="64"/>
      <c r="FM39" s="89">
        <v>2049</v>
      </c>
      <c r="FN39" s="278">
        <f t="shared" si="80"/>
        <v>1.0466666666666666</v>
      </c>
      <c r="FP39" s="278">
        <f t="shared" si="81"/>
        <v>0.12455017713323613</v>
      </c>
      <c r="FQ39" s="278">
        <f t="shared" si="82"/>
        <v>0.05</v>
      </c>
      <c r="FR39" s="64">
        <f t="shared" si="83"/>
        <v>0.33481369342886969</v>
      </c>
      <c r="FS39" s="64">
        <f t="shared" si="84"/>
        <v>1.8608240000000005E-2</v>
      </c>
      <c r="FT39" s="64">
        <f t="shared" si="85"/>
        <v>0.26896350364963512</v>
      </c>
      <c r="FU39" s="64">
        <f t="shared" si="86"/>
        <v>0.11065393349553942</v>
      </c>
      <c r="FV39" s="64">
        <f t="shared" si="87"/>
        <v>5.3392457420924556E-2</v>
      </c>
      <c r="FW39" s="64">
        <f t="shared" si="88"/>
        <v>7.4025000000000021E-2</v>
      </c>
      <c r="FX39" s="64">
        <f t="shared" si="89"/>
        <v>2.3725961538461581E-2</v>
      </c>
      <c r="FY39" s="64">
        <f t="shared" si="90"/>
        <v>7.4025000000000384E-3</v>
      </c>
      <c r="FZ39" s="280">
        <f t="shared" si="91"/>
        <v>3.0531199999999981E-2</v>
      </c>
      <c r="GA39" s="64"/>
      <c r="GB39" s="89">
        <v>2049</v>
      </c>
      <c r="GC39" s="278">
        <f t="shared" si="92"/>
        <v>1.0466666666666666</v>
      </c>
      <c r="GE39" s="278">
        <f t="shared" si="93"/>
        <v>0.18964536049045355</v>
      </c>
      <c r="GF39" s="278">
        <f t="shared" si="94"/>
        <v>0.05</v>
      </c>
      <c r="GG39" s="64">
        <f t="shared" si="95"/>
        <v>0.25111027007165221</v>
      </c>
      <c r="GH39" s="64">
        <f t="shared" si="96"/>
        <v>3.7216480000000003E-2</v>
      </c>
      <c r="GI39" s="64">
        <f t="shared" si="97"/>
        <v>0.26896350364963512</v>
      </c>
      <c r="GJ39" s="64">
        <f t="shared" si="98"/>
        <v>0.11065393349553942</v>
      </c>
      <c r="GK39" s="64">
        <f t="shared" si="99"/>
        <v>5.3392457420924556E-2</v>
      </c>
      <c r="GL39" s="64">
        <f t="shared" si="100"/>
        <v>7.4025000000000021E-2</v>
      </c>
      <c r="GM39" s="64">
        <f t="shared" si="101"/>
        <v>2.3725961538461581E-2</v>
      </c>
      <c r="GN39" s="64">
        <f t="shared" si="102"/>
        <v>7.4025000000000384E-3</v>
      </c>
      <c r="GO39" s="280">
        <f t="shared" si="103"/>
        <v>3.0531199999999981E-2</v>
      </c>
      <c r="GP39" s="64"/>
      <c r="GQ39" s="89">
        <v>2049</v>
      </c>
      <c r="GR39" s="278">
        <f t="shared" si="104"/>
        <v>1.0466666666666666</v>
      </c>
      <c r="GT39" s="278">
        <f t="shared" si="105"/>
        <v>0.25474054384767097</v>
      </c>
      <c r="GU39" s="278">
        <f t="shared" si="106"/>
        <v>0.05</v>
      </c>
      <c r="GV39" s="64">
        <f t="shared" si="107"/>
        <v>0.16740684671443484</v>
      </c>
      <c r="GW39" s="64">
        <f t="shared" si="108"/>
        <v>5.5824720000000001E-2</v>
      </c>
      <c r="GX39" s="64">
        <f t="shared" si="109"/>
        <v>0.26896350364963512</v>
      </c>
      <c r="GY39" s="64">
        <f t="shared" si="110"/>
        <v>0.11065393349553942</v>
      </c>
      <c r="GZ39" s="64">
        <f t="shared" si="111"/>
        <v>5.3392457420924556E-2</v>
      </c>
      <c r="HA39" s="64">
        <f t="shared" si="112"/>
        <v>7.4025000000000021E-2</v>
      </c>
      <c r="HB39" s="64">
        <f t="shared" si="113"/>
        <v>2.3725961538461581E-2</v>
      </c>
      <c r="HC39" s="64">
        <f t="shared" si="114"/>
        <v>7.4025000000000384E-3</v>
      </c>
      <c r="HD39" s="280">
        <f t="shared" si="115"/>
        <v>3.0531199999999981E-2</v>
      </c>
      <c r="HE39" s="64"/>
      <c r="HF39" s="89">
        <v>2049</v>
      </c>
      <c r="HG39" s="278">
        <f t="shared" si="116"/>
        <v>1.0466666666666666</v>
      </c>
      <c r="HI39" s="278">
        <f t="shared" si="117"/>
        <v>0.3198357272048884</v>
      </c>
      <c r="HJ39" s="278">
        <f t="shared" si="118"/>
        <v>0.05</v>
      </c>
      <c r="HK39" s="64">
        <f t="shared" si="119"/>
        <v>8.3703423357217407E-2</v>
      </c>
      <c r="HL39" s="64">
        <f t="shared" si="120"/>
        <v>7.4432960000000006E-2</v>
      </c>
      <c r="HM39" s="64">
        <f t="shared" si="121"/>
        <v>0.26896350364963512</v>
      </c>
      <c r="HN39" s="64">
        <f t="shared" si="122"/>
        <v>0.11065393349553942</v>
      </c>
      <c r="HO39" s="64">
        <f t="shared" si="123"/>
        <v>5.3392457420924556E-2</v>
      </c>
      <c r="HP39" s="64">
        <f t="shared" si="124"/>
        <v>7.4025000000000021E-2</v>
      </c>
      <c r="HQ39" s="64">
        <f t="shared" si="125"/>
        <v>2.3725961538461581E-2</v>
      </c>
      <c r="HR39" s="64">
        <f t="shared" si="126"/>
        <v>7.4025000000000384E-3</v>
      </c>
      <c r="HS39" s="280">
        <f t="shared" si="127"/>
        <v>3.0531199999999981E-2</v>
      </c>
      <c r="HT39" s="64"/>
      <c r="HU39" s="89">
        <v>2049</v>
      </c>
      <c r="HV39" s="278">
        <f t="shared" si="128"/>
        <v>1.0466666666666666</v>
      </c>
      <c r="HX39" s="278">
        <f t="shared" si="129"/>
        <v>0.35238331888349717</v>
      </c>
      <c r="HY39" s="278">
        <f t="shared" si="130"/>
        <v>0.05</v>
      </c>
      <c r="HZ39" s="64">
        <f t="shared" si="131"/>
        <v>4.1851711678608683E-2</v>
      </c>
      <c r="IA39" s="64">
        <f t="shared" si="132"/>
        <v>8.3737079999999992E-2</v>
      </c>
      <c r="IB39" s="64">
        <f t="shared" si="133"/>
        <v>0.26896350364963512</v>
      </c>
      <c r="IC39" s="64">
        <f t="shared" si="134"/>
        <v>0.11065393349553942</v>
      </c>
      <c r="ID39" s="64">
        <f t="shared" si="135"/>
        <v>5.3392457420924556E-2</v>
      </c>
      <c r="IE39" s="64">
        <f t="shared" si="136"/>
        <v>7.4025000000000021E-2</v>
      </c>
      <c r="IF39" s="64">
        <f t="shared" si="137"/>
        <v>2.3725961538461581E-2</v>
      </c>
      <c r="IG39" s="64">
        <f t="shared" si="138"/>
        <v>7.4025000000000384E-3</v>
      </c>
      <c r="IH39" s="280">
        <f t="shared" si="139"/>
        <v>3.0531199999999981E-2</v>
      </c>
      <c r="II39" s="64"/>
      <c r="IJ39" s="89">
        <v>2049</v>
      </c>
      <c r="IK39" s="278">
        <f t="shared" si="140"/>
        <v>1.0466666666666666</v>
      </c>
      <c r="IM39" s="278">
        <f t="shared" si="141"/>
        <v>0.38493091056210582</v>
      </c>
      <c r="IN39" s="278">
        <f t="shared" si="142"/>
        <v>0.05</v>
      </c>
      <c r="IO39" s="64">
        <v>0</v>
      </c>
      <c r="IP39" s="64">
        <f t="shared" si="143"/>
        <v>9.3041199999999991E-2</v>
      </c>
      <c r="IQ39" s="64">
        <f t="shared" si="144"/>
        <v>0.26896350364963512</v>
      </c>
      <c r="IR39" s="64">
        <f t="shared" si="145"/>
        <v>0.11065393349553942</v>
      </c>
      <c r="IS39" s="64">
        <f t="shared" si="146"/>
        <v>5.3392457420924556E-2</v>
      </c>
      <c r="IT39" s="64">
        <f t="shared" si="147"/>
        <v>7.4025000000000021E-2</v>
      </c>
      <c r="IU39" s="64">
        <f t="shared" si="148"/>
        <v>2.3725961538461581E-2</v>
      </c>
      <c r="IV39" s="64">
        <f t="shared" si="149"/>
        <v>7.4025000000000384E-3</v>
      </c>
      <c r="IW39" s="280">
        <f t="shared" si="150"/>
        <v>3.0531199999999981E-2</v>
      </c>
      <c r="IX39" s="3">
        <f t="shared" si="151"/>
        <v>0.11749999999999972</v>
      </c>
      <c r="IY39">
        <f t="shared" si="36"/>
        <v>2049</v>
      </c>
      <c r="IZ39" s="3">
        <f t="shared" si="152"/>
        <v>17.526013816463912</v>
      </c>
      <c r="JA39" s="353">
        <f>HLOOKUP($JG$3,'Timing calculations'!JH$8:JT$39,32,FALSE)</f>
        <v>14.514826626995713</v>
      </c>
      <c r="JB39" s="3">
        <f t="shared" si="153"/>
        <v>29.949999999999996</v>
      </c>
      <c r="JC39" s="353">
        <f t="shared" si="154"/>
        <v>31.526315789473681</v>
      </c>
      <c r="JD39" s="418">
        <f t="shared" si="37"/>
        <v>0.11750000000000016</v>
      </c>
      <c r="JE39" s="368">
        <f t="shared" si="155"/>
        <v>12.924999999999995</v>
      </c>
      <c r="JF39" s="369">
        <f t="shared" si="156"/>
        <v>13.605263157894733</v>
      </c>
      <c r="JG39" s="363">
        <f t="shared" si="157"/>
        <v>12.852369377402217</v>
      </c>
      <c r="JH39" s="362">
        <f t="shared" si="38"/>
        <v>13.528809870949702</v>
      </c>
      <c r="JI39" s="366">
        <f t="shared" si="39"/>
        <v>13.789085295645927</v>
      </c>
      <c r="JJ39" s="367">
        <f t="shared" si="9"/>
        <v>14.514826626995713</v>
      </c>
      <c r="JK39" s="363">
        <f t="shared" si="40"/>
        <v>14.725801213889639</v>
      </c>
      <c r="JL39" s="362">
        <f t="shared" si="41"/>
        <v>15.500843383041726</v>
      </c>
      <c r="JM39" s="366">
        <f t="shared" si="158"/>
        <v>15.662517132133351</v>
      </c>
      <c r="JN39" s="367">
        <f t="shared" si="42"/>
        <v>16.486860139087739</v>
      </c>
      <c r="JO39" s="363">
        <f t="shared" si="159"/>
        <v>16.599233050377066</v>
      </c>
      <c r="JP39" s="362">
        <f t="shared" si="43"/>
        <v>17.472876895133755</v>
      </c>
      <c r="JQ39" s="366">
        <f t="shared" si="160"/>
        <v>17.062623433420491</v>
      </c>
      <c r="JR39" s="367">
        <f t="shared" si="44"/>
        <v>17.960656245705781</v>
      </c>
      <c r="JS39" s="363">
        <f t="shared" si="161"/>
        <v>17.526013816463912</v>
      </c>
      <c r="JT39" s="362">
        <f t="shared" si="45"/>
        <v>18.448435596277804</v>
      </c>
    </row>
    <row r="40" spans="1:282" ht="15" thickBot="1">
      <c r="A40" s="260">
        <f>'1 StrategyMix for CarbonTargets'!V37</f>
        <v>0.3</v>
      </c>
      <c r="B40" s="248"/>
      <c r="C40" s="248"/>
      <c r="D40" s="248"/>
      <c r="E40" s="248"/>
      <c r="F40" s="248"/>
      <c r="G40" s="235">
        <v>0.4</v>
      </c>
      <c r="H40" s="64">
        <f>$D78*(1-H$3-H$16-H$19-H$22-H$25-H$31-H$32-H$33)</f>
        <v>0.15561797843478256</v>
      </c>
      <c r="I40" s="64">
        <f>$D78*(1-I$3-I$16-I$19-I$22-I$25-I$31-I$32-I$33)</f>
        <v>0.15585575860869566</v>
      </c>
      <c r="J40" s="64">
        <f>$D78*(1-J$3-J$16-J$19-J$22-J$25-J$31-J$32-J$33)</f>
        <v>0.15517899965217391</v>
      </c>
      <c r="K40" s="64"/>
      <c r="M40" s="235">
        <v>0.4</v>
      </c>
      <c r="N40" s="235"/>
      <c r="O40" s="64">
        <f>$D101*(1-H$3-H$16-H$19-H$22-H$25-H$31-H$32-H$33)</f>
        <v>7.9552019478260821E-2</v>
      </c>
      <c r="P40" s="64">
        <f>$D101*(1-I$3-I$16-I$19-I$22-I$25-I$31-I$32-I$33)</f>
        <v>7.967357286956521E-2</v>
      </c>
      <c r="Q40" s="64">
        <f>$D101*(1-J$3-J$16-J$19-J$22-J$25-J$31-J$32-J$33)</f>
        <v>7.9327613217391291E-2</v>
      </c>
      <c r="AO40" s="89">
        <v>2050</v>
      </c>
      <c r="AP40" s="170">
        <f t="shared" si="185"/>
        <v>-2.8799999999999992E-2</v>
      </c>
      <c r="AQ40" s="170">
        <f t="shared" si="185"/>
        <v>-7.0000000000000045E-3</v>
      </c>
      <c r="AR40" s="170">
        <f t="shared" si="185"/>
        <v>-2.2499999999999996E-2</v>
      </c>
      <c r="AS40" s="170">
        <f t="shared" si="185"/>
        <v>-6.7500000000000004E-2</v>
      </c>
      <c r="AU40" s="170">
        <f t="shared" si="186"/>
        <v>-5.0364963503649621E-2</v>
      </c>
      <c r="AV40" s="170">
        <f t="shared" si="186"/>
        <v>-0.1043795620437957</v>
      </c>
      <c r="AW40" s="170">
        <f t="shared" si="186"/>
        <v>-0.24525547445255474</v>
      </c>
      <c r="AY40" s="170">
        <f t="shared" si="164"/>
        <v>-8.4839999999999971E-2</v>
      </c>
      <c r="AZ40" s="278">
        <f t="shared" si="165"/>
        <v>8.4839999999999968E-3</v>
      </c>
      <c r="BA40" s="284">
        <f t="shared" si="166"/>
        <v>-3.8794749913043457E-2</v>
      </c>
      <c r="BB40" s="276">
        <f t="shared" si="167"/>
        <v>-3.8794749913043457E-2</v>
      </c>
      <c r="BC40" s="277">
        <f t="shared" si="10"/>
        <v>-3.8794749913043457E-2</v>
      </c>
      <c r="BD40" s="278">
        <f t="shared" si="168"/>
        <v>8.4839999999999968E-3</v>
      </c>
      <c r="BE40" s="284">
        <f t="shared" si="169"/>
        <v>-3.8794749913043498E-2</v>
      </c>
      <c r="BF40" s="276">
        <f t="shared" si="170"/>
        <v>-3.8794749913043457E-2</v>
      </c>
      <c r="BG40" s="277">
        <f t="shared" si="11"/>
        <v>-3.8794749913043498E-2</v>
      </c>
      <c r="BH40" s="278">
        <f t="shared" si="171"/>
        <v>1.6967999999999994E-2</v>
      </c>
      <c r="BI40" s="284">
        <f t="shared" si="172"/>
        <v>-7.7589499826086983E-2</v>
      </c>
      <c r="BJ40" s="276">
        <f t="shared" si="173"/>
        <v>-7.7589499826087024E-2</v>
      </c>
      <c r="BK40" s="277">
        <f t="shared" si="12"/>
        <v>-7.7589499826086983E-2</v>
      </c>
      <c r="BL40" s="278">
        <f t="shared" si="174"/>
        <v>1.6967999999999994E-2</v>
      </c>
      <c r="BM40" s="284">
        <f t="shared" si="175"/>
        <v>-7.7589499826086941E-2</v>
      </c>
      <c r="BN40" s="276">
        <f t="shared" si="176"/>
        <v>-7.7589499826086886E-2</v>
      </c>
      <c r="BO40" s="277">
        <f t="shared" si="13"/>
        <v>-7.7589499826086941E-2</v>
      </c>
      <c r="BP40" s="278">
        <f t="shared" si="177"/>
        <v>1.6967999999999994E-2</v>
      </c>
      <c r="BQ40" s="284">
        <f t="shared" si="178"/>
        <v>-7.7589499826086997E-2</v>
      </c>
      <c r="BR40" s="276">
        <f t="shared" si="179"/>
        <v>-7.7589499826086997E-2</v>
      </c>
      <c r="BS40" s="277">
        <f t="shared" si="14"/>
        <v>-7.7589499826086997E-2</v>
      </c>
      <c r="BT40" s="278">
        <f t="shared" si="180"/>
        <v>1.6967999999999994E-2</v>
      </c>
      <c r="BU40" s="284">
        <f t="shared" si="181"/>
        <v>-7.7589499826086941E-2</v>
      </c>
      <c r="BV40" s="276">
        <f t="shared" si="182"/>
        <v>-7.7589499826086941E-2</v>
      </c>
      <c r="BW40" s="278">
        <f t="shared" si="15"/>
        <v>-7.7589499826086941E-2</v>
      </c>
      <c r="BX40" s="393">
        <f>IF(BX$1=0,AY40,IF(BX$1=0.1,AY40+AZ40,IF(BX$1=0.2,AY40+AZ40+BD40,IF(BX$1=0.4,AY40+AZ40+BD40+BH40,IF(BX$1=0.6,AY40+AZ40+BD40+BH40+BL40,IF(BX$1=0.8,AY40+AZ40+BD40+BH40+BL40+BP40,IF(BX$1=1,AY40+AZ40+BD40+BH40+BL40++BP40+BT40,0)))))))</f>
        <v>-1.6968E-2</v>
      </c>
      <c r="BY40" s="394">
        <f t="shared" si="47"/>
        <v>-0.31035799930434788</v>
      </c>
      <c r="BZ40" s="278"/>
      <c r="CB40" s="279">
        <f t="shared" si="183"/>
        <v>-0.61064000000000007</v>
      </c>
      <c r="CC40" s="64">
        <f t="shared" si="17"/>
        <v>-0.64095074991304346</v>
      </c>
      <c r="CD40" s="64">
        <f t="shared" si="18"/>
        <v>-0.67126149982608696</v>
      </c>
      <c r="CE40" s="64">
        <f t="shared" si="19"/>
        <v>-0.73188299965217396</v>
      </c>
      <c r="CF40" s="64">
        <f t="shared" si="20"/>
        <v>-0.79250449947826096</v>
      </c>
      <c r="CG40" s="64">
        <f t="shared" si="21"/>
        <v>-0.85312599930434796</v>
      </c>
      <c r="CH40" s="64">
        <f t="shared" si="22"/>
        <v>-0.91374749913043496</v>
      </c>
      <c r="CI40">
        <v>2050</v>
      </c>
      <c r="CJ40" s="240"/>
      <c r="CL40">
        <v>2050</v>
      </c>
      <c r="CM40" s="3">
        <f t="shared" si="48"/>
        <v>0.95</v>
      </c>
      <c r="CN40" s="64">
        <f t="shared" si="23"/>
        <v>0.92120000000000002</v>
      </c>
      <c r="CO40" s="64">
        <f t="shared" si="23"/>
        <v>0.91420000000000001</v>
      </c>
      <c r="CP40" s="64">
        <f t="shared" si="23"/>
        <v>0.89170000000000005</v>
      </c>
      <c r="CQ40" s="64">
        <f t="shared" si="23"/>
        <v>0.82420000000000004</v>
      </c>
      <c r="CR40" s="64">
        <f t="shared" si="24"/>
        <v>0.77383503649635044</v>
      </c>
      <c r="CS40" s="64">
        <f t="shared" si="24"/>
        <v>0.66945547445255471</v>
      </c>
      <c r="CT40" s="64">
        <f t="shared" si="24"/>
        <v>0.42419999999999997</v>
      </c>
      <c r="CU40" s="64">
        <f t="shared" si="25"/>
        <v>0.33935999999999999</v>
      </c>
      <c r="CV40" s="64">
        <f t="shared" si="25"/>
        <v>0.34784399999999999</v>
      </c>
      <c r="CW40" s="65">
        <f t="shared" si="49"/>
        <v>0.30904925008695655</v>
      </c>
      <c r="CX40" s="64">
        <f t="shared" si="50"/>
        <v>0.35632799999999998</v>
      </c>
      <c r="CY40" s="65">
        <f t="shared" si="51"/>
        <v>0.27873850017391305</v>
      </c>
      <c r="CZ40" s="64">
        <f t="shared" si="52"/>
        <v>0.37329599999999996</v>
      </c>
      <c r="DA40" s="65">
        <f t="shared" si="53"/>
        <v>0.21811700034782605</v>
      </c>
      <c r="DB40" s="64">
        <f t="shared" si="54"/>
        <v>0.39026399999999994</v>
      </c>
      <c r="DC40" s="65">
        <f t="shared" si="55"/>
        <v>0.15749550052173911</v>
      </c>
      <c r="DD40" s="64">
        <f t="shared" si="56"/>
        <v>0.40723199999999993</v>
      </c>
      <c r="DE40" s="65">
        <f t="shared" si="57"/>
        <v>9.6874000695652093E-2</v>
      </c>
      <c r="DF40" s="64">
        <f t="shared" si="58"/>
        <v>0.42419999999999991</v>
      </c>
      <c r="DG40" s="65">
        <f t="shared" si="59"/>
        <v>3.6252500869565135E-2</v>
      </c>
      <c r="DL40">
        <v>2050</v>
      </c>
      <c r="DM40" s="64">
        <f t="shared" si="60"/>
        <v>3.6252500869565135E-2</v>
      </c>
      <c r="DN40" s="64">
        <f t="shared" si="61"/>
        <v>9.6874000695652093E-2</v>
      </c>
      <c r="DO40" s="64">
        <f t="shared" si="62"/>
        <v>0.15749550052173911</v>
      </c>
      <c r="DP40" s="64">
        <f t="shared" si="63"/>
        <v>0.21811700034782605</v>
      </c>
      <c r="DQ40" s="64">
        <f t="shared" si="64"/>
        <v>0.27873850017391305</v>
      </c>
      <c r="DR40" s="64">
        <f t="shared" si="65"/>
        <v>0.30904925008695655</v>
      </c>
      <c r="DS40" s="64">
        <f t="shared" si="26"/>
        <v>0.33935999999999999</v>
      </c>
      <c r="DT40" s="64">
        <f t="shared" si="27"/>
        <v>0.42419999999999997</v>
      </c>
      <c r="DU40" s="64">
        <f t="shared" si="28"/>
        <v>0.66945547445255471</v>
      </c>
      <c r="DV40" s="64">
        <f t="shared" si="29"/>
        <v>0.77383503649635044</v>
      </c>
      <c r="DW40" s="64">
        <f t="shared" si="30"/>
        <v>0.82420000000000004</v>
      </c>
      <c r="DX40" s="64">
        <f t="shared" si="31"/>
        <v>0.89170000000000005</v>
      </c>
      <c r="DY40" s="64">
        <f t="shared" si="32"/>
        <v>0.91420000000000001</v>
      </c>
      <c r="DZ40" s="64">
        <f t="shared" si="33"/>
        <v>0.92120000000000002</v>
      </c>
      <c r="EA40" s="3">
        <f t="shared" si="66"/>
        <v>0.95</v>
      </c>
      <c r="EB40">
        <v>2050</v>
      </c>
      <c r="EC40" s="269">
        <f t="shared" si="67"/>
        <v>3.6252500869565107E-2</v>
      </c>
      <c r="ED40" s="269">
        <f t="shared" si="68"/>
        <v>0.05</v>
      </c>
      <c r="EE40" s="64">
        <f t="shared" si="184"/>
        <v>6.0621499826086958E-2</v>
      </c>
      <c r="EF40" s="64">
        <f t="shared" si="184"/>
        <v>6.0621499826087014E-2</v>
      </c>
      <c r="EG40" s="64">
        <f t="shared" si="184"/>
        <v>6.0621499826086944E-2</v>
      </c>
      <c r="EH40" s="64">
        <f t="shared" si="184"/>
        <v>6.0621499826087E-2</v>
      </c>
      <c r="EI40" s="64">
        <f t="shared" si="184"/>
        <v>3.03107499130435E-2</v>
      </c>
      <c r="EJ40" s="64">
        <f t="shared" si="184"/>
        <v>3.0310749913043444E-2</v>
      </c>
      <c r="EK40" s="64">
        <f t="shared" si="184"/>
        <v>8.4839999999999971E-2</v>
      </c>
      <c r="EL40" s="64">
        <f t="shared" si="184"/>
        <v>0.24525547445255474</v>
      </c>
      <c r="EM40" s="64">
        <f t="shared" si="184"/>
        <v>0.10437956204379573</v>
      </c>
      <c r="EN40" s="64">
        <f t="shared" si="184"/>
        <v>5.0364963503649607E-2</v>
      </c>
      <c r="EO40" s="64">
        <f t="shared" si="184"/>
        <v>6.7500000000000004E-2</v>
      </c>
      <c r="EP40" s="64">
        <f t="shared" si="184"/>
        <v>2.2499999999999964E-2</v>
      </c>
      <c r="EQ40" s="64">
        <f t="shared" si="184"/>
        <v>7.0000000000000062E-3</v>
      </c>
      <c r="ER40" s="64">
        <f t="shared" si="184"/>
        <v>2.8799999999999937E-2</v>
      </c>
      <c r="EX40" s="86">
        <v>2050</v>
      </c>
      <c r="EY40" s="347">
        <f t="shared" si="69"/>
        <v>1.05</v>
      </c>
      <c r="EZ40" s="347"/>
      <c r="FA40" s="347">
        <f t="shared" si="70"/>
        <v>4.4877750956521911E-2</v>
      </c>
      <c r="FB40" s="347">
        <f t="shared" si="35"/>
        <v>0.05</v>
      </c>
      <c r="FC40" s="171">
        <f t="shared" si="71"/>
        <v>0.42674224904347824</v>
      </c>
      <c r="FD40" s="171">
        <f t="shared" si="72"/>
        <v>7.6327832942979503E-18</v>
      </c>
      <c r="FE40" s="171">
        <f t="shared" si="73"/>
        <v>0.26978102189781017</v>
      </c>
      <c r="FF40" s="171">
        <f t="shared" si="74"/>
        <v>0.11481751824817528</v>
      </c>
      <c r="FG40" s="171">
        <f t="shared" si="75"/>
        <v>5.5401459854014561E-2</v>
      </c>
      <c r="FH40" s="171">
        <f t="shared" si="76"/>
        <v>7.4249999999999997E-2</v>
      </c>
      <c r="FI40" s="171">
        <f t="shared" si="77"/>
        <v>2.474999999999996E-2</v>
      </c>
      <c r="FJ40" s="171">
        <f t="shared" si="78"/>
        <v>7.7000000000000063E-3</v>
      </c>
      <c r="FK40" s="348">
        <f t="shared" si="79"/>
        <v>3.1679999999999923E-2</v>
      </c>
      <c r="FL40" s="64"/>
      <c r="FM40" s="86">
        <v>2050</v>
      </c>
      <c r="FN40" s="347">
        <f t="shared" si="80"/>
        <v>1.05</v>
      </c>
      <c r="FO40" s="87"/>
      <c r="FP40" s="347">
        <f t="shared" si="81"/>
        <v>0.11156140076521748</v>
      </c>
      <c r="FQ40" s="347">
        <f t="shared" si="82"/>
        <v>0.05</v>
      </c>
      <c r="FR40" s="171">
        <f t="shared" si="83"/>
        <v>0.34139379923478264</v>
      </c>
      <c r="FS40" s="171">
        <f t="shared" si="84"/>
        <v>1.8664799999999999E-2</v>
      </c>
      <c r="FT40" s="171">
        <f t="shared" si="85"/>
        <v>0.26978102189781017</v>
      </c>
      <c r="FU40" s="171">
        <f t="shared" si="86"/>
        <v>0.11481751824817528</v>
      </c>
      <c r="FV40" s="171">
        <f t="shared" si="87"/>
        <v>5.5401459854014561E-2</v>
      </c>
      <c r="FW40" s="171">
        <f t="shared" si="88"/>
        <v>7.4249999999999997E-2</v>
      </c>
      <c r="FX40" s="171">
        <f t="shared" si="89"/>
        <v>2.474999999999996E-2</v>
      </c>
      <c r="FY40" s="171">
        <f t="shared" si="90"/>
        <v>7.7000000000000063E-3</v>
      </c>
      <c r="FZ40" s="348">
        <f t="shared" si="91"/>
        <v>3.1679999999999923E-2</v>
      </c>
      <c r="GA40" s="64"/>
      <c r="GB40" s="86">
        <v>2050</v>
      </c>
      <c r="GC40" s="347">
        <f t="shared" si="92"/>
        <v>1.05</v>
      </c>
      <c r="GD40" s="87"/>
      <c r="GE40" s="347">
        <f t="shared" si="93"/>
        <v>0.17824505057391304</v>
      </c>
      <c r="GF40" s="347">
        <f t="shared" si="94"/>
        <v>0.05</v>
      </c>
      <c r="GG40" s="171">
        <f t="shared" si="95"/>
        <v>0.25604534942608698</v>
      </c>
      <c r="GH40" s="171">
        <f t="shared" si="96"/>
        <v>3.7329599999999991E-2</v>
      </c>
      <c r="GI40" s="171">
        <f t="shared" si="97"/>
        <v>0.26978102189781017</v>
      </c>
      <c r="GJ40" s="171">
        <f t="shared" si="98"/>
        <v>0.11481751824817528</v>
      </c>
      <c r="GK40" s="171">
        <f t="shared" si="99"/>
        <v>5.5401459854014561E-2</v>
      </c>
      <c r="GL40" s="171">
        <f t="shared" si="100"/>
        <v>7.4249999999999997E-2</v>
      </c>
      <c r="GM40" s="171">
        <f t="shared" si="101"/>
        <v>2.474999999999996E-2</v>
      </c>
      <c r="GN40" s="171">
        <f t="shared" si="102"/>
        <v>7.7000000000000063E-3</v>
      </c>
      <c r="GO40" s="348">
        <f t="shared" si="103"/>
        <v>3.1679999999999923E-2</v>
      </c>
      <c r="GP40" s="64"/>
      <c r="GQ40" s="86">
        <v>2050</v>
      </c>
      <c r="GR40" s="347">
        <f t="shared" si="104"/>
        <v>1.05</v>
      </c>
      <c r="GS40" s="87"/>
      <c r="GT40" s="347">
        <f t="shared" si="105"/>
        <v>0.24492870038260872</v>
      </c>
      <c r="GU40" s="347">
        <f t="shared" si="106"/>
        <v>0.05</v>
      </c>
      <c r="GV40" s="171">
        <f t="shared" si="107"/>
        <v>0.17069689961739132</v>
      </c>
      <c r="GW40" s="171">
        <f t="shared" si="108"/>
        <v>5.5994399999999986E-2</v>
      </c>
      <c r="GX40" s="171">
        <f t="shared" si="109"/>
        <v>0.26978102189781017</v>
      </c>
      <c r="GY40" s="171">
        <f t="shared" si="110"/>
        <v>0.11481751824817528</v>
      </c>
      <c r="GZ40" s="171">
        <f t="shared" si="111"/>
        <v>5.5401459854014561E-2</v>
      </c>
      <c r="HA40" s="171">
        <f t="shared" si="112"/>
        <v>7.4249999999999997E-2</v>
      </c>
      <c r="HB40" s="171">
        <f t="shared" si="113"/>
        <v>2.474999999999996E-2</v>
      </c>
      <c r="HC40" s="171">
        <f t="shared" si="114"/>
        <v>7.7000000000000063E-3</v>
      </c>
      <c r="HD40" s="348">
        <f t="shared" si="115"/>
        <v>3.1679999999999923E-2</v>
      </c>
      <c r="HE40" s="64"/>
      <c r="HF40" s="86">
        <v>2050</v>
      </c>
      <c r="HG40" s="347">
        <f t="shared" si="116"/>
        <v>1.05</v>
      </c>
      <c r="HH40" s="87"/>
      <c r="HI40" s="347">
        <f t="shared" si="117"/>
        <v>0.3116123501913044</v>
      </c>
      <c r="HJ40" s="347">
        <f t="shared" si="118"/>
        <v>0.05</v>
      </c>
      <c r="HK40" s="171">
        <f t="shared" si="119"/>
        <v>8.5348449808695645E-2</v>
      </c>
      <c r="HL40" s="171">
        <f t="shared" si="120"/>
        <v>7.4659199999999981E-2</v>
      </c>
      <c r="HM40" s="171">
        <f t="shared" si="121"/>
        <v>0.26978102189781017</v>
      </c>
      <c r="HN40" s="171">
        <f t="shared" si="122"/>
        <v>0.11481751824817528</v>
      </c>
      <c r="HO40" s="171">
        <f t="shared" si="123"/>
        <v>5.5401459854014561E-2</v>
      </c>
      <c r="HP40" s="171">
        <f t="shared" si="124"/>
        <v>7.4249999999999997E-2</v>
      </c>
      <c r="HQ40" s="171">
        <f t="shared" si="125"/>
        <v>2.474999999999996E-2</v>
      </c>
      <c r="HR40" s="171">
        <f t="shared" si="126"/>
        <v>7.7000000000000063E-3</v>
      </c>
      <c r="HS40" s="348">
        <f t="shared" si="127"/>
        <v>3.1679999999999923E-2</v>
      </c>
      <c r="HT40" s="64"/>
      <c r="HU40" s="86">
        <v>2050</v>
      </c>
      <c r="HV40" s="347">
        <f t="shared" si="128"/>
        <v>1.05</v>
      </c>
      <c r="HW40" s="87"/>
      <c r="HX40" s="347">
        <f t="shared" si="129"/>
        <v>0.34495417509565229</v>
      </c>
      <c r="HY40" s="347">
        <f t="shared" si="130"/>
        <v>0.05</v>
      </c>
      <c r="HZ40" s="171">
        <f t="shared" si="131"/>
        <v>4.2674224904347795E-2</v>
      </c>
      <c r="IA40" s="171">
        <f t="shared" si="132"/>
        <v>8.3991599999999972E-2</v>
      </c>
      <c r="IB40" s="171">
        <f t="shared" si="133"/>
        <v>0.26978102189781017</v>
      </c>
      <c r="IC40" s="171">
        <f t="shared" si="134"/>
        <v>0.11481751824817528</v>
      </c>
      <c r="ID40" s="171">
        <f t="shared" si="135"/>
        <v>5.5401459854014561E-2</v>
      </c>
      <c r="IE40" s="171">
        <f t="shared" si="136"/>
        <v>7.4249999999999997E-2</v>
      </c>
      <c r="IF40" s="171">
        <f t="shared" si="137"/>
        <v>2.474999999999996E-2</v>
      </c>
      <c r="IG40" s="171">
        <f t="shared" si="138"/>
        <v>7.7000000000000063E-3</v>
      </c>
      <c r="IH40" s="348">
        <f t="shared" si="139"/>
        <v>3.1679999999999923E-2</v>
      </c>
      <c r="II40" s="64"/>
      <c r="IJ40" s="86">
        <v>2050</v>
      </c>
      <c r="IK40" s="347">
        <f t="shared" si="140"/>
        <v>1.05</v>
      </c>
      <c r="IL40" s="87"/>
      <c r="IM40" s="347">
        <f t="shared" si="141"/>
        <v>0.37829600000000019</v>
      </c>
      <c r="IN40" s="347">
        <f t="shared" si="142"/>
        <v>0.05</v>
      </c>
      <c r="IO40" s="171">
        <v>0</v>
      </c>
      <c r="IP40" s="171">
        <f t="shared" si="143"/>
        <v>9.3323999999999963E-2</v>
      </c>
      <c r="IQ40" s="171">
        <f t="shared" si="144"/>
        <v>0.26978102189781017</v>
      </c>
      <c r="IR40" s="171">
        <f t="shared" si="145"/>
        <v>0.11481751824817528</v>
      </c>
      <c r="IS40" s="171">
        <f t="shared" si="146"/>
        <v>5.5401459854014561E-2</v>
      </c>
      <c r="IT40" s="171">
        <f t="shared" si="147"/>
        <v>7.4249999999999997E-2</v>
      </c>
      <c r="IU40" s="171">
        <f t="shared" si="148"/>
        <v>2.474999999999996E-2</v>
      </c>
      <c r="IV40" s="171">
        <f t="shared" si="149"/>
        <v>7.7000000000000063E-3</v>
      </c>
      <c r="IW40" s="348">
        <f t="shared" si="150"/>
        <v>3.1679999999999923E-2</v>
      </c>
      <c r="IX40" s="3">
        <f t="shared" si="151"/>
        <v>-12.924999999999995</v>
      </c>
      <c r="IY40">
        <f t="shared" si="36"/>
        <v>2050</v>
      </c>
      <c r="IZ40" s="3"/>
      <c r="JA40" s="353"/>
      <c r="JB40" s="3">
        <f t="shared" si="153"/>
        <v>30.999999999999996</v>
      </c>
      <c r="JF40" s="353"/>
      <c r="JG40" s="3"/>
      <c r="JH40" s="353"/>
      <c r="JI40" s="3"/>
      <c r="JJ40" s="353"/>
      <c r="JK40" s="3"/>
      <c r="JL40" s="353">
        <f t="shared" si="41"/>
        <v>0</v>
      </c>
      <c r="JN40" s="353">
        <f t="shared" si="42"/>
        <v>0</v>
      </c>
      <c r="JP40" s="353">
        <f t="shared" si="43"/>
        <v>0</v>
      </c>
      <c r="JR40" s="353">
        <f t="shared" si="44"/>
        <v>0</v>
      </c>
      <c r="JT40" s="353">
        <f t="shared" si="45"/>
        <v>0</v>
      </c>
    </row>
    <row r="41" spans="1:282">
      <c r="A41" s="259"/>
      <c r="B41" s="247"/>
      <c r="C41" s="247"/>
      <c r="D41" s="247"/>
      <c r="E41" s="247"/>
      <c r="F41" s="247"/>
      <c r="G41" s="235">
        <v>0.6</v>
      </c>
      <c r="H41" s="64">
        <f>$E78*(1-H$3-H$16-H$19-H$22-H$25-H$31-H$32-H$33)</f>
        <v>0.23342696765217377</v>
      </c>
      <c r="I41" s="64">
        <f>$E78*(1-I$3-I$16-I$19-I$22-I$25-I$31-I$32-I$33)</f>
        <v>0.23378363791304346</v>
      </c>
      <c r="J41" s="64">
        <f>$E78*(1-J$3-J$16-J$19-J$22-J$25-J$31-J$32-J$33)</f>
        <v>0.23276849947826084</v>
      </c>
      <c r="K41" s="64"/>
      <c r="M41" s="235">
        <v>0.6</v>
      </c>
      <c r="N41" s="235"/>
      <c r="O41" s="64">
        <f>$E101*(1-H$3-H$16-H$19-H$22-H$25-H$31-H$32-H$33)</f>
        <v>0.11932802921739126</v>
      </c>
      <c r="P41" s="64">
        <f>$E101*(1-I$3-I$16-I$19-I$22-I$25-I$31-I$32-I$33)</f>
        <v>0.11951035930434784</v>
      </c>
      <c r="Q41" s="64">
        <f>$E101*(1-J$3-J$16-J$19-J$22-J$25-J$31-J$32-J$33)</f>
        <v>0.11899141982608696</v>
      </c>
      <c r="AO41" s="89"/>
      <c r="AY41" s="170"/>
      <c r="BA41" s="283"/>
      <c r="BB41" s="271"/>
      <c r="BC41" s="240"/>
      <c r="BE41" s="283"/>
      <c r="BF41" s="271"/>
      <c r="BG41" s="240"/>
      <c r="BI41" s="283"/>
      <c r="BJ41" s="271"/>
      <c r="BK41" s="240"/>
      <c r="BM41" s="283"/>
      <c r="BN41" s="271"/>
      <c r="BO41" s="240"/>
      <c r="BQ41" s="283"/>
      <c r="BR41" s="271"/>
      <c r="BS41" s="240"/>
      <c r="BU41" s="283"/>
      <c r="BV41" s="271"/>
      <c r="BW41" s="240"/>
      <c r="CB41" s="279"/>
      <c r="CJ41" s="240"/>
    </row>
    <row r="42" spans="1:282">
      <c r="A42" s="247"/>
      <c r="B42" s="247"/>
      <c r="C42" s="247"/>
      <c r="D42" s="247"/>
      <c r="E42" s="247"/>
      <c r="F42" s="247"/>
      <c r="G42" s="235">
        <v>0.8</v>
      </c>
      <c r="H42" s="64">
        <f>$F78*(1-H$3-H$16-H$19-H$22-H$25-H$31-H$32-H$33)</f>
        <v>0.31123595686956512</v>
      </c>
      <c r="I42" s="64">
        <f>$F78*(1-I$3-I$16-I$19-I$22-I$25-I$31-I$32-I$33)</f>
        <v>0.31171151721739132</v>
      </c>
      <c r="J42" s="64">
        <f>$F78*(1-J$3-J$16-J$19-J$22-J$25-J$31-J$32-J$33)</f>
        <v>0.31035799930434782</v>
      </c>
      <c r="K42" s="64"/>
      <c r="M42" s="235">
        <v>0.8</v>
      </c>
      <c r="N42" s="235"/>
      <c r="O42" s="64">
        <f>$F101*(1-H$3-H$16-H$19-H$22-H$25-H$31-H$32-H$33)</f>
        <v>0.15910403895652164</v>
      </c>
      <c r="P42" s="64">
        <f>$F101*(1-I$3-I$16-I$19-I$22-I$25-I$31-I$32-I$33)</f>
        <v>0.15934714573913042</v>
      </c>
      <c r="Q42" s="64">
        <f>$F101*(1-J$3-J$16-J$19-J$22-J$25-J$31-J$32-J$33)</f>
        <v>0.15865522643478258</v>
      </c>
      <c r="AO42" s="89" t="s">
        <v>171</v>
      </c>
      <c r="AP42" s="170">
        <f>SUM(AP11:AP40)/30</f>
        <v>-1.4880000000000001E-2</v>
      </c>
      <c r="AQ42" s="170">
        <f>SUM(AQ11:AQ40)/30</f>
        <v>-3.3833333333333358E-3</v>
      </c>
      <c r="AR42" s="170">
        <f>SUM(AR11:AR40)/30</f>
        <v>-1.0124999999999999E-2</v>
      </c>
      <c r="AS42" s="170">
        <f>SUM(AS11:AS40)/30</f>
        <v>-5.1749999999999977E-2</v>
      </c>
      <c r="AU42" s="170">
        <f>SUM(AU11:AU40)/30</f>
        <v>-2.6021897810218967E-2</v>
      </c>
      <c r="AV42" s="170">
        <f>SUM(AV11:AV40)/30</f>
        <v>-5.3929440389294418E-2</v>
      </c>
      <c r="AW42" s="170">
        <f>SUM(AW11:AW40)/30</f>
        <v>-0.18802919708029198</v>
      </c>
      <c r="AY42" s="170">
        <f>SUM(AY11:AY40)/30</f>
        <v>-6.2216000000000007E-2</v>
      </c>
      <c r="AZ42" s="170">
        <f>SUM(AZ11:AZ40)/30</f>
        <v>5.6726352941176431E-3</v>
      </c>
      <c r="BA42" s="284"/>
      <c r="BB42" s="275"/>
      <c r="BC42" s="287">
        <f>SUM(BC11:BC40)/30</f>
        <v>-2.1132552146086944E-2</v>
      </c>
      <c r="BD42" s="170">
        <f>SUM(BD11:BD40)/30</f>
        <v>5.6726352941176431E-3</v>
      </c>
      <c r="BE42" s="284"/>
      <c r="BF42" s="275"/>
      <c r="BG42" s="287">
        <f>SUM(BG11:BG40)/30</f>
        <v>-2.1132552146086971E-2</v>
      </c>
      <c r="BH42" s="170">
        <f>SUM(BH11:BH40)/30</f>
        <v>1.1029199999999992E-2</v>
      </c>
      <c r="BI42" s="284"/>
      <c r="BJ42" s="275"/>
      <c r="BK42" s="287">
        <f>SUM(BK11:BK40)/30</f>
        <v>-4.2265104292173929E-2</v>
      </c>
      <c r="BL42" s="170">
        <f>SUM(BL11:BL40)/30</f>
        <v>1.1029199999999992E-2</v>
      </c>
      <c r="BM42" s="284"/>
      <c r="BN42" s="275"/>
      <c r="BO42" s="287">
        <f>SUM(BO11:BO40)/30</f>
        <v>-4.2265104292173908E-2</v>
      </c>
      <c r="BP42" s="170">
        <f>SUM(BP11:BP40)/30</f>
        <v>1.1029199999999992E-2</v>
      </c>
      <c r="BQ42" s="284"/>
      <c r="BR42" s="275"/>
      <c r="BS42" s="287">
        <f>SUM(BS11:BS40)/30</f>
        <v>-4.2265104292173929E-2</v>
      </c>
      <c r="BT42" s="170">
        <f>SUM(BT11:BT40)/30</f>
        <v>1.1029199999999992E-2</v>
      </c>
      <c r="BU42" s="284"/>
      <c r="BV42" s="275"/>
      <c r="BW42" s="327">
        <f>SUM(BW11:BW40)/30</f>
        <v>-4.2265104292173908E-2</v>
      </c>
      <c r="BX42" s="330"/>
      <c r="BY42" s="330"/>
      <c r="BZ42" s="330"/>
      <c r="CB42" s="335">
        <f t="shared" ref="CB42:CB43" si="187">SUM(AP42:AY42)</f>
        <v>-0.41033486861313867</v>
      </c>
      <c r="CC42" s="331">
        <f>SUM(AP42:BA42)</f>
        <v>-0.40466223331902101</v>
      </c>
      <c r="CD42" s="331">
        <f t="shared" ref="CD42:CD43" si="188">SUM(AP42:BE42)</f>
        <v>-0.42012215017099031</v>
      </c>
      <c r="CE42" s="331">
        <f t="shared" ref="CE42:CE43" si="189">SUM(AP42:BI42)</f>
        <v>-0.43022550231707724</v>
      </c>
      <c r="CF42" s="331">
        <f t="shared" ref="CF42:CF43" si="190">SUM(AP42:BM42)</f>
        <v>-0.46146140660925117</v>
      </c>
      <c r="CG42" s="331">
        <f t="shared" ref="CG42:CG43" si="191">SUM(AP42:BQ42)</f>
        <v>-0.49269731090142505</v>
      </c>
      <c r="CH42" s="331">
        <f t="shared" ref="CH42:CH43" si="192">SUM(AP42:BU42)</f>
        <v>-0.52393321519359903</v>
      </c>
      <c r="CI42" s="332" t="s">
        <v>202</v>
      </c>
      <c r="CJ42" s="336"/>
      <c r="DK42" s="290"/>
      <c r="JE42" s="5">
        <f>(JE10-0.1)/30</f>
        <v>2.8333333333333332E-2</v>
      </c>
    </row>
    <row r="43" spans="1:282">
      <c r="A43" s="689" t="s">
        <v>112</v>
      </c>
      <c r="B43" s="689"/>
      <c r="C43" s="689"/>
      <c r="D43" s="689"/>
      <c r="E43" s="689"/>
      <c r="F43" s="689"/>
      <c r="G43" s="235">
        <v>1</v>
      </c>
      <c r="H43" s="64">
        <f>$G78*(1-H$3-H$16-H$19-H$22-H$25-H$31-H$32-H$33)</f>
        <v>0.38904494608695633</v>
      </c>
      <c r="I43" s="64">
        <f>$G78*(1-I$3-I$16-I$19-I$22-I$25-I$31-I$32-I$33)</f>
        <v>0.38963939652173912</v>
      </c>
      <c r="J43" s="64">
        <f>$G78*(1-J$3-J$16-J$19-J$22-J$25-J$31-J$32-J$33)</f>
        <v>0.38794749913043475</v>
      </c>
      <c r="K43" s="64"/>
      <c r="M43" s="235">
        <v>1</v>
      </c>
      <c r="N43" s="235"/>
      <c r="O43" s="64">
        <f>$G101*(1-H$3-H$16-H$19-H$22-H$25-H$31-H$32-H$33)</f>
        <v>0.19888004869565207</v>
      </c>
      <c r="P43" s="64">
        <f>$G101*(1-I$3-I$16-I$19-I$22-I$25-I$31-I$32-I$33)</f>
        <v>0.19918393217391306</v>
      </c>
      <c r="Q43" s="64">
        <f>$G101*(1-J$3-J$16-J$19-J$22-J$25-J$31-J$32-J$33)</f>
        <v>0.19831903304347825</v>
      </c>
      <c r="AO43" s="89" t="s">
        <v>172</v>
      </c>
      <c r="AP43" s="64">
        <f>SUM(AP11:AP20)/10</f>
        <v>-5.28E-3</v>
      </c>
      <c r="AQ43" s="64">
        <f t="shared" ref="AQ43:AS43" si="193">SUM(AQ11:AQ20)/10</f>
        <v>-9.0000000000000008E-4</v>
      </c>
      <c r="AR43" s="64">
        <f t="shared" si="193"/>
        <v>-1.8173076923076921E-3</v>
      </c>
      <c r="AS43" s="64">
        <f t="shared" si="193"/>
        <v>-2.4750000000000001E-2</v>
      </c>
      <c r="AU43" s="64">
        <f t="shared" ref="AU43:AW43" si="194">SUM(AU11:AU20)/10</f>
        <v>-9.2335766423357699E-3</v>
      </c>
      <c r="AV43" s="64">
        <f t="shared" si="194"/>
        <v>-1.913625304136253E-2</v>
      </c>
      <c r="AW43" s="64">
        <f t="shared" si="194"/>
        <v>-8.992700729927007E-2</v>
      </c>
      <c r="AY43" s="64">
        <f t="shared" ref="AY43:AZ43" si="195">SUM(AY11:AY20)/10</f>
        <v>-2.7448235294117634E-2</v>
      </c>
      <c r="AZ43" s="64">
        <f t="shared" si="195"/>
        <v>1.7966117647058816E-3</v>
      </c>
      <c r="BA43" s="285"/>
      <c r="BB43" s="273"/>
      <c r="BC43" s="279">
        <f t="shared" ref="BC43:BT43" si="196">SUM(BC11:BC20)/10</f>
        <v>-4.9355928208695606E-3</v>
      </c>
      <c r="BD43" s="64">
        <f t="shared" si="196"/>
        <v>1.7966117647058816E-3</v>
      </c>
      <c r="BE43" s="285"/>
      <c r="BF43" s="273"/>
      <c r="BG43" s="279">
        <f t="shared" ref="BG43" si="197">SUM(BG11:BG20)/10</f>
        <v>-4.9355928208695693E-3</v>
      </c>
      <c r="BH43" s="64">
        <f t="shared" si="196"/>
        <v>3.3935999999999988E-3</v>
      </c>
      <c r="BI43" s="285"/>
      <c r="BJ43" s="273"/>
      <c r="BK43" s="279">
        <f t="shared" ref="BK43" si="198">SUM(BK11:BK20)/10</f>
        <v>-9.8711856417391351E-3</v>
      </c>
      <c r="BL43" s="64">
        <f t="shared" si="196"/>
        <v>3.3935999999999988E-3</v>
      </c>
      <c r="BM43" s="285"/>
      <c r="BN43" s="273"/>
      <c r="BO43" s="279">
        <f t="shared" ref="BO43" si="199">SUM(BO11:BO20)/10</f>
        <v>-9.8711856417391247E-3</v>
      </c>
      <c r="BP43" s="64">
        <f t="shared" si="196"/>
        <v>3.3935999999999988E-3</v>
      </c>
      <c r="BQ43" s="285"/>
      <c r="BR43" s="273"/>
      <c r="BS43" s="279">
        <f t="shared" ref="BS43" si="200">SUM(BS11:BS20)/10</f>
        <v>-9.8711856417391369E-3</v>
      </c>
      <c r="BT43" s="64">
        <f t="shared" si="196"/>
        <v>3.3935999999999988E-3</v>
      </c>
      <c r="BU43" s="285"/>
      <c r="BV43" s="273"/>
      <c r="BW43" s="328">
        <f t="shared" ref="BW43" si="201">SUM(BW11:BW20)/10</f>
        <v>-9.8711856417391265E-3</v>
      </c>
      <c r="BX43" s="64"/>
      <c r="BY43" s="64"/>
      <c r="BZ43" s="64"/>
      <c r="CB43" s="337">
        <f t="shared" si="187"/>
        <v>-0.17849237996939368</v>
      </c>
      <c r="CC43" s="292">
        <f>SUM(AP43:BA43)</f>
        <v>-0.1766957682046878</v>
      </c>
      <c r="CD43" s="292">
        <f t="shared" si="188"/>
        <v>-0.17983474926085147</v>
      </c>
      <c r="CE43" s="292">
        <f t="shared" si="189"/>
        <v>-0.18137674208172105</v>
      </c>
      <c r="CF43" s="292">
        <f t="shared" si="190"/>
        <v>-0.1878543277234602</v>
      </c>
      <c r="CG43" s="292">
        <f t="shared" si="191"/>
        <v>-0.19433191336519934</v>
      </c>
      <c r="CH43" s="292">
        <f t="shared" si="192"/>
        <v>-0.20080949900693848</v>
      </c>
      <c r="CI43" s="291" t="s">
        <v>201</v>
      </c>
      <c r="CJ43" s="338"/>
      <c r="DK43" s="290"/>
    </row>
    <row r="44" spans="1:282" ht="15" thickBot="1">
      <c r="A44" s="259">
        <f>'1 StrategyMix for CarbonTargets'!V43</f>
        <v>0.2</v>
      </c>
      <c r="B44" s="247"/>
      <c r="C44" s="247"/>
      <c r="D44" s="247"/>
      <c r="E44" s="247"/>
      <c r="F44" s="247"/>
      <c r="AO44" s="86" t="s">
        <v>180</v>
      </c>
      <c r="AP44" s="111">
        <f>AP4</f>
        <v>-2.8799999999999999E-2</v>
      </c>
      <c r="AQ44" s="111">
        <f>AQ4</f>
        <v>-7.000000000000001E-3</v>
      </c>
      <c r="AR44" s="111">
        <f>AR4</f>
        <v>-2.2499999999999999E-2</v>
      </c>
      <c r="AS44" s="111">
        <f>AS4</f>
        <v>-6.7500000000000004E-2</v>
      </c>
      <c r="AT44" s="87"/>
      <c r="AU44" s="111">
        <f>AU4</f>
        <v>-5.0364963503649648E-2</v>
      </c>
      <c r="AV44" s="111">
        <f>AV4</f>
        <v>-0.10437956204379562</v>
      </c>
      <c r="AW44" s="111">
        <f>AW4</f>
        <v>-0.24525547445255474</v>
      </c>
      <c r="AX44" s="87"/>
      <c r="AY44" s="111">
        <f>AY4</f>
        <v>-8.4839999999999971E-2</v>
      </c>
      <c r="AZ44" s="111">
        <f>AZ4</f>
        <v>8.4839999999999968E-3</v>
      </c>
      <c r="BA44" s="286"/>
      <c r="BB44" s="281"/>
      <c r="BC44" s="115">
        <f>BC4</f>
        <v>0</v>
      </c>
      <c r="BD44" s="111">
        <f>BD4</f>
        <v>8.4839999999999968E-3</v>
      </c>
      <c r="BE44" s="286"/>
      <c r="BF44" s="281"/>
      <c r="BG44" s="115">
        <f>BG4</f>
        <v>0</v>
      </c>
      <c r="BH44" s="111">
        <f>BH4</f>
        <v>1.6967999999999994E-2</v>
      </c>
      <c r="BI44" s="286"/>
      <c r="BJ44" s="281"/>
      <c r="BK44" s="115">
        <f>BK4</f>
        <v>0</v>
      </c>
      <c r="BL44" s="111">
        <f>BL4</f>
        <v>1.6967999999999994E-2</v>
      </c>
      <c r="BM44" s="286"/>
      <c r="BN44" s="281"/>
      <c r="BO44" s="115">
        <f>BO4</f>
        <v>0</v>
      </c>
      <c r="BP44" s="111">
        <f>BP4</f>
        <v>1.6967999999999994E-2</v>
      </c>
      <c r="BQ44" s="286"/>
      <c r="BR44" s="281"/>
      <c r="BS44" s="115">
        <f>BS4</f>
        <v>0</v>
      </c>
      <c r="BT44" s="111">
        <f>BT4</f>
        <v>1.6967999999999994E-2</v>
      </c>
      <c r="BU44" s="286"/>
      <c r="BV44" s="281"/>
      <c r="BW44" s="329">
        <f>BW4</f>
        <v>0</v>
      </c>
      <c r="BX44" s="5"/>
      <c r="BY44" s="5"/>
      <c r="BZ44" s="5"/>
      <c r="CB44" s="279">
        <f>CB40</f>
        <v>-0.61064000000000007</v>
      </c>
      <c r="CC44" s="64">
        <f t="shared" ref="CC44:CH44" si="202">CC40</f>
        <v>-0.64095074991304346</v>
      </c>
      <c r="CD44" s="64">
        <f t="shared" si="202"/>
        <v>-0.67126149982608696</v>
      </c>
      <c r="CE44" s="64">
        <f t="shared" si="202"/>
        <v>-0.73188299965217396</v>
      </c>
      <c r="CF44" s="64">
        <f t="shared" si="202"/>
        <v>-0.79250449947826096</v>
      </c>
      <c r="CG44" s="64">
        <f t="shared" si="202"/>
        <v>-0.85312599930434796</v>
      </c>
      <c r="CH44" s="64">
        <f t="shared" si="202"/>
        <v>-0.91374749913043496</v>
      </c>
      <c r="CI44" t="s">
        <v>200</v>
      </c>
      <c r="CJ44" s="240"/>
      <c r="DK44" s="290"/>
    </row>
    <row r="45" spans="1:282">
      <c r="A45" s="247"/>
      <c r="B45" s="247"/>
      <c r="C45" s="247"/>
      <c r="D45" s="247"/>
      <c r="E45" s="247"/>
      <c r="F45" s="247"/>
      <c r="CB45" s="279">
        <f>CB20</f>
        <v>-0.32678334819610039</v>
      </c>
      <c r="CC45" s="64">
        <f t="shared" ref="CC45:CH45" si="203">CC20</f>
        <v>-0.33441436746293751</v>
      </c>
      <c r="CD45" s="64">
        <f t="shared" si="203"/>
        <v>-0.34204538672977469</v>
      </c>
      <c r="CE45" s="64">
        <f t="shared" si="203"/>
        <v>-0.35775103310658629</v>
      </c>
      <c r="CF45" s="64">
        <f t="shared" si="203"/>
        <v>-0.37345667948339789</v>
      </c>
      <c r="CG45" s="64">
        <f t="shared" si="203"/>
        <v>-0.38916232586020949</v>
      </c>
      <c r="CH45" s="64">
        <f t="shared" si="203"/>
        <v>-0.40486797223702109</v>
      </c>
      <c r="CI45" t="s">
        <v>199</v>
      </c>
      <c r="CJ45" s="240"/>
      <c r="DK45" s="290"/>
    </row>
    <row r="46" spans="1:282" ht="26.5" customHeight="1">
      <c r="A46" s="689"/>
      <c r="B46" s="689"/>
      <c r="C46" s="689"/>
      <c r="D46" s="689"/>
      <c r="E46" s="689"/>
      <c r="F46" s="689"/>
      <c r="G46" s="234" t="s">
        <v>116</v>
      </c>
      <c r="H46" s="711" t="s">
        <v>150</v>
      </c>
      <c r="I46" s="712"/>
      <c r="J46" s="712"/>
      <c r="K46" s="289"/>
      <c r="M46" s="234" t="s">
        <v>116</v>
      </c>
      <c r="N46" s="234"/>
      <c r="O46" s="711" t="s">
        <v>150</v>
      </c>
      <c r="P46" s="712"/>
      <c r="Q46" s="712"/>
      <c r="CB46" s="339">
        <f>CB44+'1 StrategyMix for CarbonTargets'!$V$6</f>
        <v>-0.66064000000000012</v>
      </c>
      <c r="CC46" s="333">
        <f>CC44+'1 StrategyMix for CarbonTargets'!$V$6</f>
        <v>-0.6909507499130435</v>
      </c>
      <c r="CD46" s="333">
        <f>CD44+'1 StrategyMix for CarbonTargets'!$V$6</f>
        <v>-0.721261499826087</v>
      </c>
      <c r="CE46" s="333">
        <f>CE44+'1 StrategyMix for CarbonTargets'!$V$6</f>
        <v>-0.781882999652174</v>
      </c>
      <c r="CF46" s="333">
        <f>CF44+'1 StrategyMix for CarbonTargets'!$V$6</f>
        <v>-0.842504499478261</v>
      </c>
      <c r="CG46" s="333">
        <f>CG44+'1 StrategyMix for CarbonTargets'!$V$6</f>
        <v>-0.903125999304348</v>
      </c>
      <c r="CH46" s="333">
        <f>CH44+'1 StrategyMix for CarbonTargets'!$V$6</f>
        <v>-0.963747499130435</v>
      </c>
      <c r="CI46" s="334" t="s">
        <v>203</v>
      </c>
      <c r="CJ46" s="340"/>
      <c r="DK46" s="290"/>
    </row>
    <row r="47" spans="1:282" ht="15" thickBot="1">
      <c r="A47" s="259"/>
      <c r="B47" s="247"/>
      <c r="C47" s="247"/>
      <c r="D47" s="247"/>
      <c r="E47" s="247"/>
      <c r="F47" s="247"/>
      <c r="G47" s="235">
        <v>0</v>
      </c>
      <c r="H47" s="64">
        <f>$A83*(1-H$3-H$16-H$19-H$22-H$25-H$31-H$32-H$33)</f>
        <v>4.2539999999999967E-2</v>
      </c>
      <c r="I47" s="64">
        <f>$A83*(1-I$3-I$16-I$19-I$22-I$25-I$31-I$32-I$33)</f>
        <v>4.260499999999999E-2</v>
      </c>
      <c r="J47" s="64">
        <f>$A83*(1-J$3-J$16-J$19-J$22-J$25-J$31-J$32-J$33)</f>
        <v>4.2419999999999985E-2</v>
      </c>
      <c r="K47" s="64"/>
      <c r="M47" s="235">
        <v>0</v>
      </c>
      <c r="N47" s="235"/>
      <c r="O47" s="64">
        <f>$A106*(1-H$3-H$16-H$19-H$22-H$25-H$31-H$32-H$33)</f>
        <v>4.2539999999999967E-2</v>
      </c>
      <c r="P47" s="64">
        <f>$A106*(1-I$3-I$16-I$19-I$22-I$25-I$31-I$32-I$33)</f>
        <v>4.260499999999999E-2</v>
      </c>
      <c r="Q47" s="64">
        <f>$A106*(1-J$3-J$16-J$19-J$22-J$25-J$31-J$32-J$33)</f>
        <v>4.2419999999999985E-2</v>
      </c>
      <c r="CB47" s="341">
        <f>CB45+'1 StrategyMix for CarbonTargets'!$V$6</f>
        <v>-0.37678334819610038</v>
      </c>
      <c r="CC47" s="342">
        <f>CC45+'1 StrategyMix for CarbonTargets'!$V$6</f>
        <v>-0.3844143674629375</v>
      </c>
      <c r="CD47" s="342">
        <f>CD45+'1 StrategyMix for CarbonTargets'!$V$6</f>
        <v>-0.39204538672977468</v>
      </c>
      <c r="CE47" s="342">
        <f>CE45+'1 StrategyMix for CarbonTargets'!$V$6</f>
        <v>-0.40775103310658628</v>
      </c>
      <c r="CF47" s="342">
        <f>CF45+'1 StrategyMix for CarbonTargets'!$V$6</f>
        <v>-0.42345667948339788</v>
      </c>
      <c r="CG47" s="342">
        <f>CG45+'1 StrategyMix for CarbonTargets'!$V$6</f>
        <v>-0.43916232586020948</v>
      </c>
      <c r="CH47" s="342">
        <f>CH45+'1 StrategyMix for CarbonTargets'!$V$6</f>
        <v>-0.45486797223702108</v>
      </c>
      <c r="CI47" s="343" t="s">
        <v>204</v>
      </c>
      <c r="CJ47" s="344"/>
      <c r="DK47" s="290"/>
    </row>
    <row r="48" spans="1:282">
      <c r="A48" s="247"/>
      <c r="B48" s="247"/>
      <c r="C48" s="247"/>
      <c r="D48" s="247"/>
      <c r="E48" s="247"/>
      <c r="F48" s="247"/>
      <c r="G48" s="235">
        <v>0.1</v>
      </c>
      <c r="H48" s="64">
        <f>$B83*(1-H$3-H$16-H$19-H$22-H$25-H$31-H$32-H$33)</f>
        <v>7.7190494608695606E-2</v>
      </c>
      <c r="I48" s="64">
        <f>$B83*(1-I$3-I$16-I$19-I$22-I$25-I$31-I$32-I$33)</f>
        <v>7.7308439652173905E-2</v>
      </c>
      <c r="J48" s="64">
        <f>$B83*(1-J$3-J$16-J$19-J$22-J$25-J$31-J$32-J$33)</f>
        <v>7.6972749913043467E-2</v>
      </c>
      <c r="K48" s="64"/>
      <c r="M48" s="235">
        <v>0.1</v>
      </c>
      <c r="N48" s="235"/>
      <c r="O48" s="64">
        <f>$B106*(1-H$3-H$16-H$19-H$22-H$25-H$31-H$32-H$33)</f>
        <v>5.8174004869565178E-2</v>
      </c>
      <c r="P48" s="64">
        <f>$B106*(1-I$3-I$16-I$19-I$22-I$25-I$31-I$32-I$33)</f>
        <v>5.8262893217391296E-2</v>
      </c>
      <c r="Q48" s="64">
        <f>$B106*(1-J$3-J$16-J$19-J$22-J$25-J$31-J$32-J$33)</f>
        <v>5.8009903304347812E-2</v>
      </c>
      <c r="DK48" s="290"/>
    </row>
    <row r="49" spans="1:115">
      <c r="A49" s="689" t="s">
        <v>113</v>
      </c>
      <c r="B49" s="689"/>
      <c r="C49" s="689"/>
      <c r="D49" s="689"/>
      <c r="E49" s="689"/>
      <c r="F49" s="689"/>
      <c r="G49" s="235">
        <v>0.2</v>
      </c>
      <c r="H49" s="64">
        <f>$C83*(1-H$3-H$16-H$19-H$22-H$25-H$31-H$32-H$33)</f>
        <v>0.11184098921739119</v>
      </c>
      <c r="I49" s="64">
        <f>$C83*(1-I$3-I$16-I$19-I$22-I$25-I$31-I$32-I$33)</f>
        <v>0.11201187930434776</v>
      </c>
      <c r="J49" s="64">
        <f>$C83*(1-J$3-J$16-J$19-J$22-J$25-J$31-J$32-J$33)</f>
        <v>0.11152549982608689</v>
      </c>
      <c r="K49" s="64"/>
      <c r="M49" s="235">
        <v>0.2</v>
      </c>
      <c r="N49" s="235"/>
      <c r="O49" s="64">
        <f>$C106*(1-H$3-H$16-H$19-H$22-H$25-H$31-H$32-H$33)</f>
        <v>7.3808009739130348E-2</v>
      </c>
      <c r="P49" s="64">
        <f>$C106*(1-I$3-I$16-I$19-I$22-I$25-I$31-I$32-I$33)</f>
        <v>7.3920786434782559E-2</v>
      </c>
      <c r="Q49" s="64">
        <f>$C106*(1-J$3-J$16-J$19-J$22-J$25-J$31-J$32-J$33)</f>
        <v>7.3599806608695598E-2</v>
      </c>
      <c r="DK49" s="290"/>
    </row>
    <row r="50" spans="1:115">
      <c r="A50" s="259">
        <f>'1 StrategyMix for CarbonTargets'!V40</f>
        <v>0.2</v>
      </c>
      <c r="B50" s="247"/>
      <c r="C50" s="247"/>
      <c r="D50" s="247"/>
      <c r="E50" s="247"/>
      <c r="F50" s="247"/>
      <c r="G50" s="235">
        <v>0.4</v>
      </c>
      <c r="H50" s="64">
        <f>$D83*(1-H$3-H$16-H$19-H$22-H$25-H$31-H$32-H$33)</f>
        <v>0.18114197843478252</v>
      </c>
      <c r="I50" s="64">
        <f>$D83*(1-I$3-I$16-I$19-I$22-I$25-I$31-I$32-I$33)</f>
        <v>0.18141875860869566</v>
      </c>
      <c r="J50" s="64">
        <f>$D83*(1-J$3-J$16-J$19-J$22-J$25-J$31-J$32-J$33)</f>
        <v>0.18063099965217391</v>
      </c>
      <c r="K50" s="64"/>
      <c r="M50" s="235">
        <v>0.4</v>
      </c>
      <c r="N50" s="235"/>
      <c r="O50" s="64">
        <f>$D106*(1-H$3-H$16-H$19-H$22-H$25-H$31-H$32-H$33)</f>
        <v>0.10507601947826081</v>
      </c>
      <c r="P50" s="64">
        <f>$D106*(1-I$3-I$16-I$19-I$22-I$25-I$31-I$32-I$33)</f>
        <v>0.10523657286956521</v>
      </c>
      <c r="Q50" s="64">
        <f>$D106*(1-J$3-J$16-J$19-J$22-J$25-J$31-J$32-J$33)</f>
        <v>0.10477961321739129</v>
      </c>
      <c r="DK50" s="290"/>
    </row>
    <row r="51" spans="1:115">
      <c r="A51" s="247"/>
      <c r="B51" s="247"/>
      <c r="C51" s="247"/>
      <c r="D51" s="247"/>
      <c r="E51" s="247"/>
      <c r="F51" s="247"/>
      <c r="G51" s="235">
        <v>0.6</v>
      </c>
      <c r="H51" s="64">
        <f>$E83*(1-H$3-H$16-H$19-H$22-H$25-H$31-H$32-H$33)</f>
        <v>0.25044296765217372</v>
      </c>
      <c r="I51" s="64">
        <f>$E83*(1-I$3-I$16-I$19-I$22-I$25-I$31-I$32-I$33)</f>
        <v>0.25082563791304341</v>
      </c>
      <c r="J51" s="64">
        <f>$E83*(1-J$3-J$16-J$19-J$22-J$25-J$31-J$32-J$33)</f>
        <v>0.24973649947826079</v>
      </c>
      <c r="K51" s="64"/>
      <c r="M51" s="235">
        <v>0.6</v>
      </c>
      <c r="N51" s="235"/>
      <c r="O51" s="64">
        <f>$E106*(1-H$3-H$16-H$19-H$22-H$25-H$31-H$32-H$33)</f>
        <v>0.13634402921739119</v>
      </c>
      <c r="P51" s="64">
        <f>$E106*(1-I$3-I$16-I$19-I$22-I$25-I$31-I$32-I$33)</f>
        <v>0.13655235930434778</v>
      </c>
      <c r="Q51" s="64">
        <f>$E106*(1-J$3-J$16-J$19-J$22-J$25-J$31-J$32-J$33)</f>
        <v>0.13595941982608692</v>
      </c>
      <c r="DK51" s="290"/>
    </row>
    <row r="52" spans="1:115">
      <c r="A52" s="689"/>
      <c r="B52" s="689"/>
      <c r="C52" s="689"/>
      <c r="D52" s="689"/>
      <c r="E52" s="689"/>
      <c r="F52" s="689"/>
      <c r="G52" s="235">
        <v>0.8</v>
      </c>
      <c r="H52" s="64">
        <f>$F83*(1-H$3-H$16-H$19-H$22-H$25-H$31-H$32-H$33)</f>
        <v>0.31974395686956508</v>
      </c>
      <c r="I52" s="64">
        <f>$F83*(1-I$3-I$16-I$19-I$22-I$25-I$31-I$32-I$33)</f>
        <v>0.32023251721739132</v>
      </c>
      <c r="J52" s="64">
        <f>$F83*(1-J$3-J$16-J$19-J$22-J$25-J$31-J$32-J$33)</f>
        <v>0.31884199930434781</v>
      </c>
      <c r="K52" s="64"/>
      <c r="M52" s="235">
        <v>0.8</v>
      </c>
      <c r="N52" s="235"/>
      <c r="O52" s="64">
        <f>$F106*(1-H$3-H$16-H$19-H$22-H$25-H$31-H$32-H$33)</f>
        <v>0.16761203895652166</v>
      </c>
      <c r="P52" s="64">
        <f>$F106*(1-I$3-I$16-I$19-I$22-I$25-I$31-I$32-I$33)</f>
        <v>0.16786814573913045</v>
      </c>
      <c r="Q52" s="64">
        <f>$F106*(1-J$3-J$16-J$19-J$22-J$25-J$31-J$32-J$33)</f>
        <v>0.1671392264347826</v>
      </c>
      <c r="DK52" s="290"/>
    </row>
    <row r="53" spans="1:115">
      <c r="A53" s="259"/>
      <c r="B53" s="247"/>
      <c r="C53" s="247"/>
      <c r="D53" s="247"/>
      <c r="E53" s="247"/>
      <c r="F53" s="247"/>
      <c r="G53" s="235">
        <v>1</v>
      </c>
      <c r="H53" s="64">
        <f>$G83*(1-H$3-H$16-H$19-H$22-H$25-H$31-H$32-H$33)</f>
        <v>0.38904494608695633</v>
      </c>
      <c r="I53" s="64">
        <f>$G83*(1-I$3-I$16-I$19-I$22-I$25-I$31-I$32-I$33)</f>
        <v>0.38963939652173912</v>
      </c>
      <c r="J53" s="64">
        <f>$G83*(1-J$3-J$16-J$19-J$22-J$25-J$31-J$32-J$33)</f>
        <v>0.38794749913043475</v>
      </c>
      <c r="K53" s="64"/>
      <c r="M53" s="235">
        <v>1</v>
      </c>
      <c r="N53" s="235"/>
      <c r="O53" s="64">
        <f>$G106*(1-H$3-H$16-H$19-H$22-H$25-H$31-H$32-H$33)</f>
        <v>0.19888004869565207</v>
      </c>
      <c r="P53" s="64">
        <f>$G106*(1-I$3-I$16-I$19-I$22-I$25-I$31-I$32-I$33)</f>
        <v>0.19918393217391306</v>
      </c>
      <c r="Q53" s="64">
        <f>$G106*(1-J$3-J$16-J$19-J$22-J$25-J$31-J$32-J$33)</f>
        <v>0.19831903304347825</v>
      </c>
      <c r="DK53" s="290"/>
    </row>
    <row r="54" spans="1:115">
      <c r="A54" s="259"/>
      <c r="B54" s="247"/>
      <c r="C54" s="247"/>
      <c r="D54" s="247"/>
      <c r="E54" s="247"/>
      <c r="F54" s="247"/>
      <c r="DK54" s="290"/>
    </row>
    <row r="55" spans="1:115">
      <c r="A55" s="3"/>
      <c r="DK55" s="290"/>
    </row>
    <row r="56" spans="1:115" ht="26.5" customHeight="1">
      <c r="A56" s="3"/>
      <c r="G56" s="234" t="s">
        <v>116</v>
      </c>
      <c r="H56" s="711" t="s">
        <v>151</v>
      </c>
      <c r="I56" s="712"/>
      <c r="J56" s="712"/>
      <c r="K56" s="289"/>
      <c r="M56" s="234" t="s">
        <v>116</v>
      </c>
      <c r="N56" s="234"/>
      <c r="O56" s="711" t="s">
        <v>151</v>
      </c>
      <c r="P56" s="712"/>
      <c r="Q56" s="712"/>
      <c r="DK56" s="290"/>
    </row>
    <row r="57" spans="1:115">
      <c r="A57" s="3"/>
      <c r="G57" s="235">
        <v>0</v>
      </c>
      <c r="H57" s="64">
        <f>$A88*(1-H$3-H$16-H$19-H$22-H$25-H$31-H$32-H$33)</f>
        <v>8.5079999999999933E-2</v>
      </c>
      <c r="I57" s="64">
        <f>$A88*(1-I$3-I$16-I$19-I$22-I$25-I$31-I$32-I$33)</f>
        <v>8.520999999999998E-2</v>
      </c>
      <c r="J57" s="64">
        <f>$A88*(1-J$3-J$16-J$19-J$22-J$25-J$31-J$32-J$33)</f>
        <v>8.4839999999999971E-2</v>
      </c>
      <c r="K57" s="64"/>
      <c r="M57" s="235">
        <v>0</v>
      </c>
      <c r="N57" s="235"/>
      <c r="O57" s="64">
        <f>$A111*(1-H$3-H$16-H$19-H$22-H$25-H$31-H$32-H$33)</f>
        <v>8.5079999999999933E-2</v>
      </c>
      <c r="P57" s="64">
        <f>$A111*(1-I$3-I$16-I$19-I$22-I$25-I$31-I$32-I$33)</f>
        <v>8.520999999999998E-2</v>
      </c>
      <c r="Q57" s="64">
        <f>$A111*(1-J$3-J$16-J$19-J$22-J$25-J$31-J$32-J$33)</f>
        <v>8.4839999999999971E-2</v>
      </c>
      <c r="DK57" s="290"/>
    </row>
    <row r="58" spans="1:115">
      <c r="A58" s="3"/>
      <c r="G58" s="235">
        <v>0.1</v>
      </c>
      <c r="H58" s="64">
        <f>$B88*(1-H$3-H$16-H$19-H$22-H$25-H$31-H$32-H$33)</f>
        <v>0.11547649460869555</v>
      </c>
      <c r="I58" s="64">
        <f>$B88*(1-I$3-I$16-I$19-I$22-I$25-I$31-I$32-I$33)</f>
        <v>0.11565293965217387</v>
      </c>
      <c r="J58" s="64">
        <f>$B88*(1-J$3-J$16-J$19-J$22-J$25-J$31-J$32-J$33)</f>
        <v>0.11515074991304343</v>
      </c>
      <c r="K58" s="64"/>
      <c r="M58" s="235">
        <v>0.1</v>
      </c>
      <c r="N58" s="235"/>
      <c r="O58" s="64">
        <f>$B111*(1-H$3-H$16-H$19-H$22-H$25-H$31-H$32-H$33)</f>
        <v>9.6460004869565116E-2</v>
      </c>
      <c r="P58" s="64">
        <f>$B111*(1-I$3-I$16-I$19-I$22-I$25-I$31-I$32-I$33)</f>
        <v>9.6607393217391258E-2</v>
      </c>
      <c r="Q58" s="64">
        <f>$B111*(1-J$3-J$16-J$19-J$22-J$25-J$31-J$32-J$33)</f>
        <v>9.6187903304347774E-2</v>
      </c>
      <c r="DK58" s="290"/>
    </row>
    <row r="59" spans="1:115">
      <c r="A59" s="3"/>
      <c r="G59" s="235">
        <v>0.2</v>
      </c>
      <c r="H59" s="64">
        <f>$C88*(1-H$3-H$16-H$19-H$22-H$25-H$31-H$32-H$33)</f>
        <v>0.14587298921739117</v>
      </c>
      <c r="I59" s="64">
        <f>$C88*(1-I$3-I$16-I$19-I$22-I$25-I$31-I$32-I$33)</f>
        <v>0.14609587930434778</v>
      </c>
      <c r="J59" s="64">
        <f>$C88*(1-J$3-J$16-J$19-J$22-J$25-J$31-J$32-J$33)</f>
        <v>0.14546149982608689</v>
      </c>
      <c r="K59" s="64"/>
      <c r="M59" s="235">
        <v>0.2</v>
      </c>
      <c r="N59" s="235"/>
      <c r="O59" s="64">
        <f>$C111*(1-H$3-H$16-H$19-H$22-H$25-H$31-H$32-H$33)</f>
        <v>0.10784000973913035</v>
      </c>
      <c r="P59" s="64">
        <f>$C111*(1-I$3-I$16-I$19-I$22-I$25-I$31-I$32-I$33)</f>
        <v>0.10800478643478258</v>
      </c>
      <c r="Q59" s="64">
        <f>$C111*(1-J$3-J$16-J$19-J$22-J$25-J$31-J$32-J$33)</f>
        <v>0.10753580660869562</v>
      </c>
      <c r="DK59" s="290"/>
    </row>
    <row r="60" spans="1:115">
      <c r="A60" s="3"/>
      <c r="G60" s="235">
        <v>0.4</v>
      </c>
      <c r="H60" s="64">
        <f>$D88*(1-H$3-H$16-H$19-H$22-H$25-H$31-H$32-H$33)</f>
        <v>0.20666597843478252</v>
      </c>
      <c r="I60" s="64">
        <f>$D88*(1-I$3-I$16-I$19-I$22-I$25-I$31-I$32-I$33)</f>
        <v>0.20698175860869567</v>
      </c>
      <c r="J60" s="64">
        <f>$D88*(1-J$3-J$16-J$19-J$22-J$25-J$31-J$32-J$33)</f>
        <v>0.20608299965217391</v>
      </c>
      <c r="K60" s="64"/>
      <c r="M60" s="235">
        <v>0.4</v>
      </c>
      <c r="N60" s="235"/>
      <c r="O60" s="64">
        <f>$D111*(1-H$3-H$16-H$19-H$22-H$25-H$31-H$32-H$33)</f>
        <v>0.1306000194782608</v>
      </c>
      <c r="P60" s="64">
        <f>$D111*(1-I$3-I$16-I$19-I$22-I$25-I$31-I$32-I$33)</f>
        <v>0.13079957286956523</v>
      </c>
      <c r="Q60" s="64">
        <f>$D111*(1-J$3-J$16-J$19-J$22-J$25-J$31-J$32-J$33)</f>
        <v>0.1302316132173913</v>
      </c>
      <c r="DK60" s="290"/>
    </row>
    <row r="61" spans="1:115">
      <c r="A61" s="3"/>
      <c r="G61" s="235">
        <v>0.6</v>
      </c>
      <c r="H61" s="64">
        <f>$E88*(1-H$3-H$16-H$19-H$22-H$25-H$31-H$32-H$33)</f>
        <v>0.26745896765217375</v>
      </c>
      <c r="I61" s="64">
        <f>$E88*(1-I$3-I$16-I$19-I$22-I$25-I$31-I$32-I$33)</f>
        <v>0.26786763791304347</v>
      </c>
      <c r="J61" s="64">
        <f>$E88*(1-J$3-J$16-J$19-J$22-J$25-J$31-J$32-J$33)</f>
        <v>0.2667044994782608</v>
      </c>
      <c r="K61" s="64"/>
      <c r="M61" s="235">
        <v>0.6</v>
      </c>
      <c r="N61" s="235"/>
      <c r="O61" s="64">
        <f>$E111*(1-H$3-H$16-H$19-H$22-H$25-H$31-H$32-H$33)</f>
        <v>0.1533600292173912</v>
      </c>
      <c r="P61" s="64">
        <f>$E111*(1-I$3-I$16-I$19-I$22-I$25-I$31-I$32-I$33)</f>
        <v>0.15359435930434781</v>
      </c>
      <c r="Q61" s="64">
        <f>$E111*(1-J$3-J$16-J$19-J$22-J$25-J$31-J$32-J$33)</f>
        <v>0.15292741982608693</v>
      </c>
      <c r="DK61" s="290"/>
    </row>
    <row r="62" spans="1:115">
      <c r="A62" s="3"/>
      <c r="G62" s="235">
        <v>0.8</v>
      </c>
      <c r="H62" s="64">
        <f>$F88*(1-H$3-H$16-H$19-H$22-H$25-H$31-H$32-H$33)</f>
        <v>0.32825195686956504</v>
      </c>
      <c r="I62" s="64">
        <f>$F88*(1-I$3-I$16-I$19-I$22-I$25-I$31-I$32-I$33)</f>
        <v>0.32875351721739132</v>
      </c>
      <c r="J62" s="64">
        <f>$F88*(1-J$3-J$16-J$19-J$22-J$25-J$31-J$32-J$33)</f>
        <v>0.3273259993043478</v>
      </c>
      <c r="K62" s="64"/>
      <c r="M62" s="235">
        <v>0.8</v>
      </c>
      <c r="N62" s="235"/>
      <c r="O62" s="64">
        <f>$F111*(1-H$3-H$16-H$19-H$22-H$25-H$31-H$32-H$33)</f>
        <v>0.17612003895652167</v>
      </c>
      <c r="P62" s="64">
        <f>$F111*(1-I$3-I$16-I$19-I$22-I$25-I$31-I$32-I$33)</f>
        <v>0.17638914573913045</v>
      </c>
      <c r="Q62" s="64">
        <f>$F111*(1-J$3-J$16-J$19-J$22-J$25-J$31-J$32-J$33)</f>
        <v>0.17562322643478262</v>
      </c>
      <c r="DK62" s="290"/>
    </row>
    <row r="63" spans="1:115">
      <c r="A63" s="3"/>
      <c r="G63" s="235">
        <v>1</v>
      </c>
      <c r="H63" s="64">
        <f>$G88*(1-H$3-H$16-H$19-H$22-H$25-H$31-H$32-H$33)</f>
        <v>0.38904494608695633</v>
      </c>
      <c r="I63" s="64">
        <f>$G88*(1-I$3-I$16-I$19-I$22-I$25-I$31-I$32-I$33)</f>
        <v>0.38963939652173912</v>
      </c>
      <c r="J63" s="64">
        <f>$G88*(1-J$3-J$16-J$19-J$22-J$25-J$31-J$32-J$33)</f>
        <v>0.38794749913043475</v>
      </c>
      <c r="K63" s="64"/>
      <c r="M63" s="235">
        <v>1</v>
      </c>
      <c r="N63" s="235"/>
      <c r="O63" s="64">
        <f>$G111*(1-H$3-H$16-H$19-H$22-H$25-H$31-H$32-H$33)</f>
        <v>0.19888004869565207</v>
      </c>
      <c r="P63" s="64">
        <f>$G111*(1-I$3-I$16-I$19-I$22-I$25-I$31-I$32-I$33)</f>
        <v>0.19918393217391306</v>
      </c>
      <c r="Q63" s="64">
        <f>$G111*(1-J$3-J$16-J$19-J$22-J$25-J$31-J$32-J$33)</f>
        <v>0.19831903304347825</v>
      </c>
      <c r="DK63" s="290"/>
    </row>
    <row r="64" spans="1:115">
      <c r="A64" s="3"/>
      <c r="DK64" s="290"/>
    </row>
    <row r="65" spans="1:115" ht="15" customHeight="1">
      <c r="A65" s="3"/>
      <c r="DK65" s="290"/>
    </row>
    <row r="66" spans="1:115" ht="28" customHeight="1">
      <c r="A66" s="3"/>
      <c r="G66" s="136" t="s">
        <v>116</v>
      </c>
      <c r="H66" s="711" t="s">
        <v>152</v>
      </c>
      <c r="I66" s="712"/>
      <c r="J66" s="712"/>
      <c r="K66" s="289"/>
      <c r="M66" s="234" t="s">
        <v>116</v>
      </c>
      <c r="N66" s="234"/>
      <c r="O66" s="711" t="s">
        <v>152</v>
      </c>
      <c r="P66" s="712"/>
      <c r="Q66" s="712"/>
      <c r="DK66" s="290"/>
    </row>
    <row r="67" spans="1:115" ht="15" customHeight="1">
      <c r="A67" s="3"/>
      <c r="G67" s="235">
        <v>0</v>
      </c>
      <c r="H67" s="64">
        <f>$A93*(1-H$3-H$16-H$19-H$22-H$25-H$31-H$32-H$33)</f>
        <v>0.12761999999999996</v>
      </c>
      <c r="I67" s="64">
        <f>$A93*(1-I$3-I$16-I$19-I$22-I$25-I$31-I$32-I$33)</f>
        <v>0.12781500000000001</v>
      </c>
      <c r="J67" s="64">
        <f>$A93*(1-J$3-J$16-J$19-J$22-J$25-J$31-J$32-J$33)</f>
        <v>0.12726000000000001</v>
      </c>
      <c r="K67" s="64"/>
      <c r="M67" s="235">
        <v>0</v>
      </c>
      <c r="N67" s="235"/>
      <c r="O67" s="64">
        <f>$A116*(1-H$3-H$16-H$19-H$22-H$25-H$31-H$32-H$33)</f>
        <v>0.12761999999999996</v>
      </c>
      <c r="P67" s="64">
        <f>$A116*(1-I$3-I$16-I$19-I$22-I$25-I$31-I$32-I$33)</f>
        <v>0.12781500000000001</v>
      </c>
      <c r="Q67" s="64">
        <f>$A116*(1-J$3-J$16-J$19-J$22-J$25-J$31-J$32-J$33)</f>
        <v>0.12726000000000001</v>
      </c>
      <c r="DK67" s="290"/>
    </row>
    <row r="68" spans="1:115" ht="16" customHeight="1">
      <c r="A68" s="3"/>
      <c r="G68" s="235">
        <v>0.1</v>
      </c>
      <c r="H68" s="64">
        <f>$B93*(1-H$3-H$16-H$19-H$22-H$25-H$31-H$32-H$33)</f>
        <v>0.15376249460869557</v>
      </c>
      <c r="I68" s="64">
        <f>$B93*(1-I$3-I$16-I$19-I$22-I$25-I$31-I$32-I$33)</f>
        <v>0.15399743965217388</v>
      </c>
      <c r="J68" s="64">
        <f>$B93*(1-J$3-J$16-J$19-J$22-J$25-J$31-J$32-J$33)</f>
        <v>0.15332874991304346</v>
      </c>
      <c r="K68" s="64"/>
      <c r="M68" s="235">
        <v>0.1</v>
      </c>
      <c r="N68" s="235"/>
      <c r="O68" s="64">
        <f>$B116*(1-H$3-H$16-H$19-H$22-H$25-H$31-H$32-H$33)</f>
        <v>0.13474600486956514</v>
      </c>
      <c r="P68" s="64">
        <f>$B116*(1-I$3-I$16-I$19-I$22-I$25-I$31-I$32-I$33)</f>
        <v>0.13495189321739132</v>
      </c>
      <c r="Q68" s="64">
        <f>$B116*(1-J$3-J$16-J$19-J$22-J$25-J$31-J$32-J$33)</f>
        <v>0.13436590330434783</v>
      </c>
      <c r="DK68" s="290"/>
    </row>
    <row r="69" spans="1:115">
      <c r="A69" s="3"/>
      <c r="G69" s="235">
        <v>0.2</v>
      </c>
      <c r="H69" s="64">
        <f>$C93*(1-H$3-H$16-H$19-H$22-H$25-H$31-H$32-H$33)</f>
        <v>0.1799049892173912</v>
      </c>
      <c r="I69" s="64">
        <f>$C93*(1-I$3-I$16-I$19-I$22-I$25-I$31-I$32-I$33)</f>
        <v>0.18017987930434781</v>
      </c>
      <c r="J69" s="64">
        <f>$C93*(1-J$3-J$16-J$19-J$22-J$25-J$31-J$32-J$33)</f>
        <v>0.17939749982608694</v>
      </c>
      <c r="K69" s="64"/>
      <c r="M69" s="235">
        <v>0.2</v>
      </c>
      <c r="N69" s="235"/>
      <c r="O69" s="64">
        <f>$C116*(1-H$3-H$16-H$19-H$22-H$25-H$31-H$32-H$33)</f>
        <v>0.14187200973913033</v>
      </c>
      <c r="P69" s="64">
        <f>$C116*(1-I$3-I$16-I$19-I$22-I$25-I$31-I$32-I$33)</f>
        <v>0.14208878643478259</v>
      </c>
      <c r="Q69" s="64">
        <f>$C116*(1-J$3-J$16-J$19-J$22-J$25-J$31-J$32-J$33)</f>
        <v>0.14147180660869563</v>
      </c>
      <c r="DK69" s="290"/>
    </row>
    <row r="70" spans="1:115">
      <c r="A70" s="3"/>
      <c r="G70" s="235">
        <v>0.4</v>
      </c>
      <c r="H70" s="64">
        <f>$D93*(1-H$3-H$16-H$19-H$22-H$25-H$31-H$32-H$33)</f>
        <v>0.23218997843478253</v>
      </c>
      <c r="I70" s="64">
        <f>$D93*(1-I$3-I$16-I$19-I$22-I$25-I$31-I$32-I$33)</f>
        <v>0.2325447586086957</v>
      </c>
      <c r="J70" s="64">
        <f>$D93*(1-J$3-J$16-J$19-J$22-J$25-J$31-J$32-J$33)</f>
        <v>0.23153499965217395</v>
      </c>
      <c r="K70" s="64"/>
      <c r="M70" s="235">
        <v>0.4</v>
      </c>
      <c r="N70" s="235"/>
      <c r="O70" s="64">
        <f>$D116*(1-H$3-H$16-H$19-H$22-H$25-H$31-H$32-H$33)</f>
        <v>0.15612401947826079</v>
      </c>
      <c r="P70" s="64">
        <f>$D116*(1-I$3-I$16-I$19-I$22-I$25-I$31-I$32-I$33)</f>
        <v>0.15636257286956523</v>
      </c>
      <c r="Q70" s="64">
        <f>$D116*(1-J$3-J$16-J$19-J$22-J$25-J$31-J$32-J$33)</f>
        <v>0.1556836132173913</v>
      </c>
      <c r="DK70" s="290"/>
    </row>
    <row r="71" spans="1:115">
      <c r="A71" s="3"/>
      <c r="G71" s="235">
        <v>0.6</v>
      </c>
      <c r="H71" s="64">
        <f>$E93*(1-H$3-H$16-H$19-H$22-H$25-H$31-H$32-H$33)</f>
        <v>0.28447496765217373</v>
      </c>
      <c r="I71" s="64">
        <f>$E93*(1-I$3-I$16-I$19-I$22-I$25-I$31-I$32-I$33)</f>
        <v>0.28490963791304347</v>
      </c>
      <c r="J71" s="64">
        <f>$E93*(1-J$3-J$16-J$19-J$22-J$25-J$31-J$32-J$33)</f>
        <v>0.28367249947826084</v>
      </c>
      <c r="K71" s="64"/>
      <c r="M71" s="235">
        <v>0.6</v>
      </c>
      <c r="N71" s="235"/>
      <c r="O71" s="64">
        <f>$E116*(1-H$3-H$16-H$19-H$22-H$25-H$31-H$32-H$33)</f>
        <v>0.17037602921739123</v>
      </c>
      <c r="P71" s="64">
        <f>$E116*(1-I$3-I$16-I$19-I$22-I$25-I$31-I$32-I$33)</f>
        <v>0.17063635930434784</v>
      </c>
      <c r="Q71" s="64">
        <f>$E116*(1-J$3-J$16-J$19-J$22-J$25-J$31-J$32-J$33)</f>
        <v>0.16989541982608697</v>
      </c>
      <c r="DK71" s="290"/>
    </row>
    <row r="72" spans="1:115">
      <c r="A72" s="3"/>
      <c r="G72" s="235">
        <v>0.8</v>
      </c>
      <c r="H72" s="64">
        <f>$F93*(1-H$3-H$16-H$19-H$22-H$25-H$31-H$32-H$33)</f>
        <v>0.33675995686956506</v>
      </c>
      <c r="I72" s="64">
        <f>$F93*(1-I$3-I$16-I$19-I$22-I$25-I$31-I$32-I$33)</f>
        <v>0.33727451721739132</v>
      </c>
      <c r="J72" s="64">
        <f>$F93*(1-J$3-J$16-J$19-J$22-J$25-J$31-J$32-J$33)</f>
        <v>0.33580999930434779</v>
      </c>
      <c r="K72" s="64"/>
      <c r="M72" s="235">
        <v>0.8</v>
      </c>
      <c r="N72" s="235"/>
      <c r="O72" s="64">
        <f>$F116*(1-H$3-H$16-H$19-H$22-H$25-H$31-H$32-H$33)</f>
        <v>0.18462803895652163</v>
      </c>
      <c r="P72" s="64">
        <f>$F116*(1-I$3-I$16-I$19-I$22-I$25-I$31-I$32-I$33)</f>
        <v>0.18491014573913042</v>
      </c>
      <c r="Q72" s="64">
        <f>$F116*(1-J$3-J$16-J$19-J$22-J$25-J$31-J$32-J$33)</f>
        <v>0.18410722643478258</v>
      </c>
      <c r="DK72" s="290"/>
    </row>
    <row r="73" spans="1:115">
      <c r="G73" s="235">
        <v>1</v>
      </c>
      <c r="H73" s="64">
        <f>$G93*(1-H$3-H$16-H$19-H$22-H$25-H$31-H$32-H$33)</f>
        <v>0.38904494608695633</v>
      </c>
      <c r="I73" s="64">
        <f>$G93*(1-I$3-I$16-I$19-I$22-I$25-I$31-I$32-I$33)</f>
        <v>0.38963939652173912</v>
      </c>
      <c r="J73" s="64">
        <f>$G93*(1-J$3-J$16-J$19-J$22-J$25-J$31-J$32-J$33)</f>
        <v>0.38794749913043475</v>
      </c>
      <c r="K73" s="64"/>
      <c r="M73" s="235">
        <v>1</v>
      </c>
      <c r="N73" s="235"/>
      <c r="O73" s="64">
        <f>$G116*(1-H$3-H$16-H$19-H$22-H$25-H$31-H$32-H$33)</f>
        <v>0.19888004869565207</v>
      </c>
      <c r="P73" s="64">
        <f>$G116*(1-I$3-I$16-I$19-I$22-I$25-I$31-I$32-I$33)</f>
        <v>0.19918393217391306</v>
      </c>
      <c r="Q73" s="64">
        <f>$G116*(1-J$3-J$16-J$19-J$22-J$25-J$31-J$32-J$33)</f>
        <v>0.19831903304347825</v>
      </c>
    </row>
    <row r="74" spans="1:115" ht="15" thickBot="1">
      <c r="A74" t="s">
        <v>175</v>
      </c>
    </row>
    <row r="75" spans="1:115">
      <c r="A75" s="228" t="s">
        <v>149</v>
      </c>
      <c r="B75" s="125"/>
      <c r="C75" s="125"/>
      <c r="D75" s="125"/>
      <c r="E75" s="125"/>
      <c r="F75" s="125"/>
      <c r="G75" s="229"/>
      <c r="BX75" s="559"/>
      <c r="BY75" s="559"/>
    </row>
    <row r="76" spans="1:115">
      <c r="A76" s="708" t="s">
        <v>145</v>
      </c>
      <c r="B76" s="583"/>
      <c r="C76" s="583"/>
      <c r="D76" s="583"/>
      <c r="E76" s="583"/>
      <c r="F76" s="583"/>
      <c r="G76" s="709"/>
      <c r="AX76" s="2"/>
      <c r="BA76" s="1"/>
      <c r="BB76" s="1"/>
      <c r="BC76" s="1"/>
      <c r="BE76" s="1"/>
      <c r="BF76" s="1"/>
      <c r="BG76" s="1"/>
      <c r="BI76" s="1"/>
      <c r="BJ76" s="1"/>
      <c r="BK76" s="1"/>
      <c r="BM76" s="1"/>
      <c r="BN76" s="1"/>
      <c r="BO76" s="1"/>
      <c r="BQ76" s="1"/>
      <c r="BR76" s="1"/>
      <c r="BS76" s="1"/>
      <c r="BU76" s="1"/>
      <c r="BV76" s="1"/>
      <c r="BW76" s="1"/>
      <c r="BX76" s="1"/>
      <c r="BY76" s="1"/>
    </row>
    <row r="77" spans="1:115" ht="15" thickBot="1">
      <c r="A77" s="230">
        <v>0</v>
      </c>
      <c r="B77" s="3">
        <v>0.1</v>
      </c>
      <c r="C77" s="3">
        <v>0.2</v>
      </c>
      <c r="D77" s="3">
        <v>0.4</v>
      </c>
      <c r="E77" s="3">
        <v>0.6</v>
      </c>
      <c r="F77" s="3">
        <v>0.8</v>
      </c>
      <c r="G77" s="85">
        <v>1</v>
      </c>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row>
    <row r="78" spans="1:115" ht="15" thickBot="1">
      <c r="A78" s="231" cm="1">
        <f t="array" ref="A78">INDEX(IMPROVE!AJ$9:AJ$52,MATCH(1,($A$38=IMPROVE!$A$9:$A$52)*($A$44=IMPROVE!$C$9:$C$52),0))</f>
        <v>0</v>
      </c>
      <c r="B78" s="232" cm="1">
        <f t="array" ref="B78">INDEX(IMPROVE!AK$9:AK$52,MATCH(1,($A$38=IMPROVE!$A$9:$A$52)*($A$44=IMPROVE!$C$9:$C$52),0))</f>
        <v>9.1453913043478219E-2</v>
      </c>
      <c r="C78" s="232" cm="1">
        <f t="array" ref="C78">INDEX(IMPROVE!AL$9:AL$52,MATCH(1,($A$38=IMPROVE!$A$9:$A$52)*($A$44=IMPROVE!$C$9:$C$52),0))</f>
        <v>0.18290782608695644</v>
      </c>
      <c r="D78" s="232" cm="1">
        <f t="array" ref="D78">INDEX(IMPROVE!AM$9:AM$52,MATCH(1,($A$38=IMPROVE!$A$9:$A$52)*($A$44=IMPROVE!$C$9:$C$52),0))</f>
        <v>0.3658156521739131</v>
      </c>
      <c r="E78" s="232" cm="1">
        <f t="array" ref="E78">INDEX(IMPROVE!AN$9:AN$52,MATCH(1,($A$38=IMPROVE!$A$9:$A$52)*($A$44=IMPROVE!$C$9:$C$52),0))</f>
        <v>0.54872347826086953</v>
      </c>
      <c r="F78" s="232" cm="1">
        <f t="array" ref="F78">INDEX(IMPROVE!AO$9:AO$52,MATCH(1,($A$38=IMPROVE!$A$9:$A$52)*($A$44=IMPROVE!$C$9:$C$52),0))</f>
        <v>0.73163130434782619</v>
      </c>
      <c r="G78" s="233" cm="1">
        <f t="array" ref="G78">INDEX(IMPROVE!AP$9:AP$52,MATCH(1,($A$38=IMPROVE!$A$9:$A$52)*($A$44=IMPROVE!$C$9:$C$52),0))</f>
        <v>0.91453913043478263</v>
      </c>
      <c r="H78" s="64"/>
      <c r="AP78" s="5"/>
      <c r="AQ78" s="5"/>
      <c r="AR78" s="5"/>
      <c r="AS78" s="5"/>
      <c r="AU78" s="5"/>
      <c r="AV78" s="5"/>
      <c r="AW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row>
    <row r="79" spans="1:115" ht="15" thickBot="1"/>
    <row r="80" spans="1:115">
      <c r="A80" s="228" t="s">
        <v>150</v>
      </c>
      <c r="B80" s="125"/>
      <c r="C80" s="125"/>
      <c r="D80" s="125"/>
      <c r="E80" s="125"/>
      <c r="F80" s="125"/>
      <c r="G80" s="229"/>
    </row>
    <row r="81" spans="1:77">
      <c r="A81" s="708" t="s">
        <v>145</v>
      </c>
      <c r="B81" s="583"/>
      <c r="C81" s="583"/>
      <c r="D81" s="583"/>
      <c r="E81" s="583"/>
      <c r="F81" s="583"/>
      <c r="G81" s="709"/>
    </row>
    <row r="82" spans="1:77" ht="15" thickBot="1">
      <c r="A82" s="230">
        <v>0</v>
      </c>
      <c r="B82" s="3">
        <v>0.1</v>
      </c>
      <c r="C82" s="3">
        <v>0.2</v>
      </c>
      <c r="D82" s="3">
        <v>0.4</v>
      </c>
      <c r="E82" s="3">
        <v>0.6</v>
      </c>
      <c r="F82" s="3">
        <v>0.8</v>
      </c>
      <c r="G82" s="85">
        <v>1</v>
      </c>
    </row>
    <row r="83" spans="1:77" ht="15" thickBot="1">
      <c r="A83" s="231" cm="1">
        <f t="array" ref="A83">INDEX(IMPROVE!AQ$9:AQ$52,MATCH(1,($A$38=IMPROVE!$A$9:$A$52)*($A$44=IMPROVE!$C$9:$C$52),0))</f>
        <v>9.9999999999999978E-2</v>
      </c>
      <c r="B83" s="232" cm="1">
        <f t="array" ref="B83">INDEX(IMPROVE!AR$9:AR$52,MATCH(1,($A$38=IMPROVE!$A$9:$A$52)*($A$44=IMPROVE!$C$9:$C$52),0))</f>
        <v>0.18145391304347824</v>
      </c>
      <c r="C83" s="232" cm="1">
        <f t="array" ref="C83">INDEX(IMPROVE!AS$9:AS$52,MATCH(1,($A$38=IMPROVE!$A$9:$A$52)*($A$44=IMPROVE!$C$9:$C$52),0))</f>
        <v>0.2629078260869564</v>
      </c>
      <c r="D83" s="232" cm="1">
        <f t="array" ref="D83">INDEX(IMPROVE!AT$9:AT$52,MATCH(1,($A$38=IMPROVE!$A$9:$A$52)*($A$44=IMPROVE!$C$9:$C$52),0))</f>
        <v>0.4258156521739131</v>
      </c>
      <c r="E83" s="232" cm="1">
        <f t="array" ref="E83">INDEX(IMPROVE!AU$9:AU$52,MATCH(1,($A$38=IMPROVE!$A$9:$A$52)*($A$44=IMPROVE!$C$9:$C$52),0))</f>
        <v>0.58872347826086946</v>
      </c>
      <c r="F83" s="232" cm="1">
        <f t="array" ref="F83">INDEX(IMPROVE!AV$9:AV$52,MATCH(1,($A$38=IMPROVE!$A$9:$A$52)*($A$44=IMPROVE!$C$9:$C$52),0))</f>
        <v>0.7516313043478261</v>
      </c>
      <c r="G83" s="233" cm="1">
        <f t="array" ref="G83">INDEX(IMPROVE!AW$9:AW$52,MATCH(1,($A$38=IMPROVE!$A$9:$A$52)*($A$44=IMPROVE!$C$9:$C$52),0))</f>
        <v>0.91453913043478263</v>
      </c>
    </row>
    <row r="84" spans="1:77" ht="15" thickBot="1"/>
    <row r="85" spans="1:77">
      <c r="A85" s="228" t="s">
        <v>151</v>
      </c>
      <c r="B85" s="125"/>
      <c r="C85" s="125"/>
      <c r="D85" s="125"/>
      <c r="E85" s="125"/>
      <c r="F85" s="125"/>
      <c r="G85" s="229"/>
      <c r="AP85" s="330"/>
      <c r="AQ85" s="330"/>
      <c r="AR85" s="330"/>
      <c r="AS85" s="330"/>
      <c r="AU85" s="330"/>
      <c r="AV85" s="330"/>
      <c r="AW85" s="330"/>
      <c r="AY85" s="330"/>
      <c r="AZ85" s="330"/>
      <c r="BA85" s="330"/>
      <c r="BB85" s="560"/>
      <c r="BC85" s="560"/>
      <c r="BD85" s="330"/>
      <c r="BE85" s="330"/>
      <c r="BF85" s="560"/>
      <c r="BG85" s="560"/>
      <c r="BH85" s="330"/>
      <c r="BI85" s="330"/>
      <c r="BJ85" s="560"/>
      <c r="BK85" s="560"/>
      <c r="BL85" s="330"/>
      <c r="BM85" s="330"/>
      <c r="BN85" s="560"/>
      <c r="BO85" s="560"/>
      <c r="BP85" s="330"/>
      <c r="BQ85" s="330"/>
      <c r="BR85" s="560"/>
      <c r="BS85" s="560"/>
      <c r="BT85" s="330"/>
      <c r="BU85" s="330"/>
      <c r="BV85" s="560"/>
      <c r="BW85" s="560"/>
      <c r="BX85" s="560"/>
      <c r="BY85" s="560"/>
    </row>
    <row r="86" spans="1:77">
      <c r="A86" s="708" t="s">
        <v>145</v>
      </c>
      <c r="B86" s="583"/>
      <c r="C86" s="583"/>
      <c r="D86" s="583"/>
      <c r="E86" s="583"/>
      <c r="F86" s="583"/>
      <c r="G86" s="709"/>
      <c r="AP86" s="330"/>
      <c r="AQ86" s="330"/>
      <c r="AR86" s="330"/>
      <c r="AS86" s="330"/>
      <c r="AU86" s="330"/>
      <c r="AV86" s="330"/>
      <c r="AW86" s="330"/>
      <c r="AY86" s="330"/>
      <c r="AZ86" s="560"/>
      <c r="BA86" s="330"/>
      <c r="BB86" s="560"/>
      <c r="BC86" s="560"/>
      <c r="BD86" s="560"/>
      <c r="BE86" s="330"/>
      <c r="BF86" s="560"/>
      <c r="BG86" s="560"/>
      <c r="BH86" s="560"/>
      <c r="BI86" s="330"/>
      <c r="BJ86" s="560"/>
      <c r="BK86" s="560"/>
      <c r="BL86" s="560"/>
      <c r="BM86" s="330"/>
      <c r="BN86" s="560"/>
      <c r="BO86" s="560"/>
      <c r="BP86" s="560"/>
      <c r="BQ86" s="330"/>
      <c r="BR86" s="560"/>
      <c r="BS86" s="560"/>
      <c r="BT86" s="560"/>
      <c r="BU86" s="330"/>
      <c r="BV86" s="560"/>
      <c r="BW86" s="560"/>
      <c r="BX86" s="560"/>
      <c r="BY86" s="560"/>
    </row>
    <row r="87" spans="1:77" ht="15" thickBot="1">
      <c r="A87" s="230">
        <v>0</v>
      </c>
      <c r="B87" s="3">
        <v>0.1</v>
      </c>
      <c r="C87" s="3">
        <v>0.2</v>
      </c>
      <c r="D87" s="3">
        <v>0.4</v>
      </c>
      <c r="E87" s="3">
        <v>0.6</v>
      </c>
      <c r="F87" s="3">
        <v>0.8</v>
      </c>
      <c r="G87" s="85">
        <v>1</v>
      </c>
      <c r="AP87" s="330"/>
      <c r="AQ87" s="330"/>
      <c r="AR87" s="330"/>
      <c r="AS87" s="330"/>
      <c r="AU87" s="330"/>
      <c r="AV87" s="330"/>
      <c r="AW87" s="330"/>
      <c r="AY87" s="330"/>
      <c r="AZ87" s="560"/>
      <c r="BA87" s="330"/>
      <c r="BB87" s="560"/>
      <c r="BC87" s="560"/>
      <c r="BD87" s="560"/>
      <c r="BE87" s="330"/>
      <c r="BF87" s="560"/>
      <c r="BG87" s="560"/>
      <c r="BH87" s="560"/>
      <c r="BI87" s="330"/>
      <c r="BJ87" s="560"/>
      <c r="BK87" s="560"/>
      <c r="BL87" s="560"/>
      <c r="BM87" s="330"/>
      <c r="BN87" s="560"/>
      <c r="BO87" s="560"/>
      <c r="BP87" s="560"/>
      <c r="BQ87" s="330"/>
      <c r="BR87" s="560"/>
      <c r="BS87" s="560"/>
      <c r="BT87" s="560"/>
      <c r="BU87" s="330"/>
      <c r="BV87" s="560"/>
      <c r="BW87" s="560"/>
      <c r="BX87" s="560"/>
      <c r="BY87" s="560"/>
    </row>
    <row r="88" spans="1:77" ht="15" thickBot="1">
      <c r="A88" s="231" cm="1">
        <f t="array" ref="A88">INDEX(IMPROVE!AX$9:AX$52,MATCH(1,($A$38=IMPROVE!$A$9:$A$52)*($A$44=IMPROVE!$C$9:$C$52),0))</f>
        <v>0.19999999999999996</v>
      </c>
      <c r="B88" s="232" cm="1">
        <f t="array" ref="B88">INDEX(IMPROVE!AY$9:AY$52,MATCH(1,($A$38=IMPROVE!$A$9:$A$52)*($A$44=IMPROVE!$C$9:$C$52),0))</f>
        <v>0.27145391304347816</v>
      </c>
      <c r="C88" s="232" cm="1">
        <f t="array" ref="C88">INDEX(IMPROVE!AZ$9:AZ$52,MATCH(1,($A$38=IMPROVE!$A$9:$A$52)*($A$44=IMPROVE!$C$9:$C$52),0))</f>
        <v>0.34290782608695641</v>
      </c>
      <c r="D88" s="232" cm="1">
        <f t="array" ref="D88">INDEX(IMPROVE!BA$9:BA$52,MATCH(1,($A$38=IMPROVE!$A$9:$A$52)*($A$44=IMPROVE!$C$9:$C$52),0))</f>
        <v>0.48581565217391309</v>
      </c>
      <c r="E88" s="232" cm="1">
        <f t="array" ref="E88">INDEX(IMPROVE!BB$9:BB$52,MATCH(1,($A$38=IMPROVE!$A$9:$A$52)*($A$44=IMPROVE!$C$9:$C$52),0))</f>
        <v>0.62872347826086949</v>
      </c>
      <c r="F88" s="232" cm="1">
        <f t="array" ref="F88">INDEX(IMPROVE!BC$9:BC$52,MATCH(1,($A$38=IMPROVE!$A$9:$A$52)*($A$44=IMPROVE!$C$9:$C$52),0))</f>
        <v>0.77163130434782612</v>
      </c>
      <c r="G88" s="233" cm="1">
        <f t="array" ref="G88">INDEX(IMPROVE!BD$9:BD$52,MATCH(1,($A$38=IMPROVE!$A$9:$A$52)*($A$44=IMPROVE!$C$9:$C$52),0))</f>
        <v>0.91453913043478263</v>
      </c>
      <c r="AP88" s="330"/>
      <c r="AQ88" s="330"/>
      <c r="AR88" s="330"/>
      <c r="AS88" s="330"/>
      <c r="AU88" s="330"/>
      <c r="AV88" s="330"/>
      <c r="AW88" s="330"/>
      <c r="AY88" s="330"/>
      <c r="AZ88" s="560"/>
      <c r="BA88" s="330"/>
      <c r="BB88" s="560"/>
      <c r="BC88" s="560"/>
      <c r="BD88" s="560"/>
      <c r="BE88" s="330"/>
      <c r="BF88" s="560"/>
      <c r="BG88" s="560"/>
      <c r="BH88" s="560"/>
      <c r="BI88" s="330"/>
      <c r="BJ88" s="560"/>
      <c r="BK88" s="560"/>
      <c r="BL88" s="560"/>
      <c r="BM88" s="330"/>
      <c r="BN88" s="560"/>
      <c r="BO88" s="560"/>
      <c r="BP88" s="560"/>
      <c r="BQ88" s="330"/>
      <c r="BR88" s="560"/>
      <c r="BS88" s="560"/>
      <c r="BT88" s="560"/>
      <c r="BU88" s="330"/>
      <c r="BV88" s="560"/>
      <c r="BW88" s="560"/>
      <c r="BX88" s="560"/>
      <c r="BY88" s="560"/>
    </row>
    <row r="89" spans="1:77" ht="15" thickBot="1">
      <c r="AP89" s="330"/>
      <c r="AQ89" s="330"/>
      <c r="AR89" s="330"/>
      <c r="AS89" s="330"/>
      <c r="AU89" s="330"/>
      <c r="AV89" s="330"/>
      <c r="AW89" s="330"/>
      <c r="AY89" s="330"/>
      <c r="AZ89" s="560"/>
      <c r="BA89" s="330"/>
      <c r="BB89" s="560"/>
      <c r="BC89" s="560"/>
      <c r="BD89" s="560"/>
      <c r="BE89" s="330"/>
      <c r="BF89" s="560"/>
      <c r="BG89" s="560"/>
      <c r="BH89" s="560"/>
      <c r="BI89" s="330"/>
      <c r="BJ89" s="560"/>
      <c r="BK89" s="560"/>
      <c r="BL89" s="560"/>
      <c r="BM89" s="330"/>
      <c r="BN89" s="560"/>
      <c r="BO89" s="560"/>
      <c r="BP89" s="560"/>
      <c r="BQ89" s="330"/>
      <c r="BR89" s="560"/>
      <c r="BS89" s="560"/>
      <c r="BT89" s="560"/>
      <c r="BU89" s="330"/>
      <c r="BV89" s="560"/>
      <c r="BW89" s="560"/>
      <c r="BX89" s="560"/>
      <c r="BY89" s="560"/>
    </row>
    <row r="90" spans="1:77">
      <c r="A90" s="228" t="s">
        <v>152</v>
      </c>
      <c r="B90" s="125"/>
      <c r="C90" s="125"/>
      <c r="D90" s="125"/>
      <c r="E90" s="125"/>
      <c r="F90" s="125"/>
      <c r="G90" s="229"/>
      <c r="AP90" s="330"/>
      <c r="AQ90" s="330"/>
      <c r="AR90" s="330"/>
      <c r="AS90" s="330"/>
      <c r="AU90" s="330"/>
      <c r="AV90" s="330"/>
      <c r="AW90" s="330"/>
      <c r="AY90" s="330"/>
      <c r="AZ90" s="560"/>
      <c r="BA90" s="330"/>
      <c r="BB90" s="560"/>
      <c r="BC90" s="560"/>
      <c r="BD90" s="560"/>
      <c r="BE90" s="330"/>
      <c r="BF90" s="560"/>
      <c r="BG90" s="560"/>
      <c r="BH90" s="560"/>
      <c r="BI90" s="330"/>
      <c r="BJ90" s="560"/>
      <c r="BK90" s="560"/>
      <c r="BL90" s="560"/>
      <c r="BM90" s="330"/>
      <c r="BN90" s="560"/>
      <c r="BO90" s="560"/>
      <c r="BP90" s="560"/>
      <c r="BQ90" s="330"/>
      <c r="BR90" s="560"/>
      <c r="BS90" s="560"/>
      <c r="BT90" s="560"/>
      <c r="BU90" s="330"/>
      <c r="BV90" s="560"/>
      <c r="BW90" s="560"/>
      <c r="BX90" s="560"/>
      <c r="BY90" s="560"/>
    </row>
    <row r="91" spans="1:77">
      <c r="A91" s="708" t="s">
        <v>145</v>
      </c>
      <c r="B91" s="583"/>
      <c r="C91" s="583"/>
      <c r="D91" s="583"/>
      <c r="E91" s="583"/>
      <c r="F91" s="583"/>
      <c r="G91" s="709"/>
      <c r="AP91" s="330"/>
      <c r="AQ91" s="330"/>
      <c r="AR91" s="330"/>
      <c r="AS91" s="330"/>
      <c r="AU91" s="330"/>
      <c r="AV91" s="330"/>
      <c r="AW91" s="330"/>
      <c r="AY91" s="330"/>
      <c r="AZ91" s="560"/>
      <c r="BA91" s="330"/>
      <c r="BB91" s="560"/>
      <c r="BC91" s="560"/>
      <c r="BD91" s="560"/>
      <c r="BE91" s="330"/>
      <c r="BF91" s="560"/>
      <c r="BG91" s="560"/>
      <c r="BH91" s="560"/>
      <c r="BI91" s="330"/>
      <c r="BJ91" s="560"/>
      <c r="BK91" s="560"/>
      <c r="BL91" s="560"/>
      <c r="BM91" s="330"/>
      <c r="BN91" s="560"/>
      <c r="BO91" s="560"/>
      <c r="BP91" s="560"/>
      <c r="BQ91" s="330"/>
      <c r="BR91" s="560"/>
      <c r="BS91" s="560"/>
      <c r="BT91" s="560"/>
      <c r="BU91" s="330"/>
      <c r="BV91" s="560"/>
      <c r="BW91" s="560"/>
      <c r="BX91" s="560"/>
      <c r="BY91" s="560"/>
    </row>
    <row r="92" spans="1:77" ht="15" thickBot="1">
      <c r="A92" s="230">
        <v>0</v>
      </c>
      <c r="B92" s="3">
        <v>0.1</v>
      </c>
      <c r="C92" s="3">
        <v>0.2</v>
      </c>
      <c r="D92" s="3">
        <v>0.4</v>
      </c>
      <c r="E92" s="3">
        <v>0.6</v>
      </c>
      <c r="F92" s="3">
        <v>0.8</v>
      </c>
      <c r="G92" s="85">
        <v>1</v>
      </c>
      <c r="AP92" s="330"/>
      <c r="AQ92" s="330"/>
      <c r="AR92" s="330"/>
      <c r="AS92" s="330"/>
      <c r="AU92" s="330"/>
      <c r="AV92" s="330"/>
      <c r="AW92" s="330"/>
      <c r="AY92" s="330"/>
      <c r="AZ92" s="560"/>
      <c r="BA92" s="330"/>
      <c r="BB92" s="560"/>
      <c r="BC92" s="560"/>
      <c r="BD92" s="560"/>
      <c r="BE92" s="330"/>
      <c r="BF92" s="560"/>
      <c r="BG92" s="560"/>
      <c r="BH92" s="560"/>
      <c r="BI92" s="330"/>
      <c r="BJ92" s="560"/>
      <c r="BK92" s="560"/>
      <c r="BL92" s="560"/>
      <c r="BM92" s="330"/>
      <c r="BN92" s="560"/>
      <c r="BO92" s="560"/>
      <c r="BP92" s="560"/>
      <c r="BQ92" s="330"/>
      <c r="BR92" s="560"/>
      <c r="BS92" s="560"/>
      <c r="BT92" s="560"/>
      <c r="BU92" s="330"/>
      <c r="BV92" s="560"/>
      <c r="BW92" s="560"/>
      <c r="BX92" s="560"/>
      <c r="BY92" s="560"/>
    </row>
    <row r="93" spans="1:77" ht="15" thickBot="1">
      <c r="A93" s="231" cm="1">
        <f t="array" ref="A93">INDEX(IMPROVE!BE$9:BE$52,MATCH(1,($A$38=IMPROVE!$A$9:$A$52)*($A$44=IMPROVE!$C$9:$C$52),0))</f>
        <v>0.30000000000000004</v>
      </c>
      <c r="B93" s="232" cm="1">
        <f t="array" ref="B93">INDEX(IMPROVE!BF$9:BF$52,MATCH(1,($A$38=IMPROVE!$A$9:$A$52)*($A$44=IMPROVE!$C$9:$C$52),0))</f>
        <v>0.36145391304347824</v>
      </c>
      <c r="C93" s="232" cm="1">
        <f t="array" ref="C93">INDEX(IMPROVE!BG$9:BG$52,MATCH(1,($A$38=IMPROVE!$A$9:$A$52)*($A$44=IMPROVE!$C$9:$C$52),0))</f>
        <v>0.42290782608695648</v>
      </c>
      <c r="D93" s="232" cm="1">
        <f t="array" ref="D93">INDEX(IMPROVE!BH$9:BH$52,MATCH(1,($A$38=IMPROVE!$A$9:$A$52)*($A$44=IMPROVE!$C$9:$C$52),0))</f>
        <v>0.54581565217391315</v>
      </c>
      <c r="E93" s="232" cm="1">
        <f t="array" ref="E93">INDEX(IMPROVE!BI$9:BI$52,MATCH(1,($A$38=IMPROVE!$A$9:$A$52)*($A$44=IMPROVE!$C$9:$C$52),0))</f>
        <v>0.66872347826086953</v>
      </c>
      <c r="F93" s="232" cm="1">
        <f t="array" ref="F93">INDEX(IMPROVE!BJ$9:BJ$52,MATCH(1,($A$38=IMPROVE!$A$9:$A$52)*($A$44=IMPROVE!$C$9:$C$52),0))</f>
        <v>0.79163130434782614</v>
      </c>
      <c r="G93" s="233" cm="1">
        <f t="array" ref="G93">INDEX(IMPROVE!BK$9:BK$52,MATCH(1,($A$38=IMPROVE!$A$9:$A$52)*($A$44=IMPROVE!$C$9:$C$52),0))</f>
        <v>0.91453913043478263</v>
      </c>
      <c r="AP93" s="330"/>
      <c r="AQ93" s="330"/>
      <c r="AR93" s="330"/>
      <c r="AS93" s="330"/>
      <c r="AU93" s="330"/>
      <c r="AV93" s="330"/>
      <c r="AW93" s="330"/>
      <c r="AY93" s="330"/>
      <c r="AZ93" s="560"/>
      <c r="BA93" s="330"/>
      <c r="BB93" s="560"/>
      <c r="BC93" s="560"/>
      <c r="BD93" s="560"/>
      <c r="BE93" s="330"/>
      <c r="BF93" s="560"/>
      <c r="BG93" s="560"/>
      <c r="BH93" s="560"/>
      <c r="BI93" s="330"/>
      <c r="BJ93" s="560"/>
      <c r="BK93" s="560"/>
      <c r="BL93" s="560"/>
      <c r="BM93" s="330"/>
      <c r="BN93" s="560"/>
      <c r="BO93" s="560"/>
      <c r="BP93" s="560"/>
      <c r="BQ93" s="330"/>
      <c r="BR93" s="560"/>
      <c r="BS93" s="560"/>
      <c r="BT93" s="560"/>
      <c r="BU93" s="330"/>
      <c r="BV93" s="560"/>
      <c r="BW93" s="560"/>
      <c r="BX93" s="560"/>
      <c r="BY93" s="560"/>
    </row>
    <row r="94" spans="1:77">
      <c r="AP94" s="330"/>
      <c r="AQ94" s="330"/>
      <c r="AR94" s="330"/>
      <c r="AS94" s="330"/>
      <c r="AU94" s="330"/>
      <c r="AV94" s="330"/>
      <c r="AW94" s="330"/>
      <c r="AY94" s="330"/>
      <c r="AZ94" s="560"/>
      <c r="BA94" s="330"/>
      <c r="BB94" s="560"/>
      <c r="BC94" s="560"/>
      <c r="BD94" s="560"/>
      <c r="BE94" s="330"/>
      <c r="BF94" s="560"/>
      <c r="BG94" s="560"/>
      <c r="BH94" s="560"/>
      <c r="BI94" s="330"/>
      <c r="BJ94" s="560"/>
      <c r="BK94" s="560"/>
      <c r="BL94" s="560"/>
      <c r="BM94" s="330"/>
      <c r="BN94" s="560"/>
      <c r="BO94" s="560"/>
      <c r="BP94" s="560"/>
      <c r="BQ94" s="330"/>
      <c r="BR94" s="560"/>
      <c r="BS94" s="560"/>
      <c r="BT94" s="560"/>
      <c r="BU94" s="330"/>
      <c r="BV94" s="560"/>
      <c r="BW94" s="560"/>
      <c r="BX94" s="560"/>
      <c r="BY94" s="560"/>
    </row>
    <row r="95" spans="1:77">
      <c r="AP95" s="330"/>
      <c r="AQ95" s="330"/>
      <c r="AR95" s="330"/>
      <c r="AS95" s="330"/>
      <c r="AU95" s="330"/>
      <c r="AV95" s="330"/>
      <c r="AW95" s="330"/>
      <c r="AY95" s="330"/>
      <c r="AZ95" s="560"/>
      <c r="BA95" s="330"/>
      <c r="BB95" s="560"/>
      <c r="BC95" s="560"/>
      <c r="BD95" s="560"/>
      <c r="BE95" s="330"/>
      <c r="BF95" s="560"/>
      <c r="BG95" s="560"/>
      <c r="BH95" s="560"/>
      <c r="BI95" s="330"/>
      <c r="BJ95" s="560"/>
      <c r="BK95" s="560"/>
      <c r="BL95" s="560"/>
      <c r="BM95" s="330"/>
      <c r="BN95" s="560"/>
      <c r="BO95" s="560"/>
      <c r="BP95" s="560"/>
      <c r="BQ95" s="330"/>
      <c r="BR95" s="560"/>
      <c r="BS95" s="560"/>
      <c r="BT95" s="560"/>
      <c r="BU95" s="330"/>
      <c r="BV95" s="560"/>
      <c r="BW95" s="560"/>
      <c r="BX95" s="560"/>
      <c r="BY95" s="560"/>
    </row>
    <row r="96" spans="1:77">
      <c r="AP96" s="330"/>
      <c r="AQ96" s="330"/>
      <c r="AR96" s="330"/>
      <c r="AS96" s="330"/>
      <c r="AU96" s="330"/>
      <c r="AV96" s="330"/>
      <c r="AW96" s="330"/>
      <c r="AY96" s="330"/>
      <c r="AZ96" s="560"/>
      <c r="BA96" s="330"/>
      <c r="BB96" s="560"/>
      <c r="BC96" s="560"/>
      <c r="BD96" s="560"/>
      <c r="BE96" s="330"/>
      <c r="BF96" s="560"/>
      <c r="BG96" s="560"/>
      <c r="BH96" s="560"/>
      <c r="BI96" s="330"/>
      <c r="BJ96" s="560"/>
      <c r="BK96" s="560"/>
      <c r="BL96" s="560"/>
      <c r="BM96" s="330"/>
      <c r="BN96" s="560"/>
      <c r="BO96" s="560"/>
      <c r="BP96" s="560"/>
      <c r="BQ96" s="330"/>
      <c r="BR96" s="560"/>
      <c r="BS96" s="560"/>
      <c r="BT96" s="560"/>
      <c r="BU96" s="330"/>
      <c r="BV96" s="560"/>
      <c r="BW96" s="560"/>
      <c r="BX96" s="560"/>
      <c r="BY96" s="560"/>
    </row>
    <row r="97" spans="1:77" ht="15" thickBot="1">
      <c r="A97" t="s">
        <v>174</v>
      </c>
      <c r="AP97" s="330"/>
      <c r="AQ97" s="330"/>
      <c r="AR97" s="330"/>
      <c r="AS97" s="330"/>
      <c r="AU97" s="330"/>
      <c r="AV97" s="330"/>
      <c r="AW97" s="330"/>
      <c r="AY97" s="330"/>
      <c r="AZ97" s="560"/>
      <c r="BA97" s="330"/>
      <c r="BB97" s="560"/>
      <c r="BC97" s="560"/>
      <c r="BD97" s="560"/>
      <c r="BE97" s="330"/>
      <c r="BF97" s="560"/>
      <c r="BG97" s="560"/>
      <c r="BH97" s="560"/>
      <c r="BI97" s="330"/>
      <c r="BJ97" s="560"/>
      <c r="BK97" s="560"/>
      <c r="BL97" s="560"/>
      <c r="BM97" s="330"/>
      <c r="BN97" s="560"/>
      <c r="BO97" s="560"/>
      <c r="BP97" s="560"/>
      <c r="BQ97" s="330"/>
      <c r="BR97" s="560"/>
      <c r="BS97" s="560"/>
      <c r="BT97" s="560"/>
      <c r="BU97" s="330"/>
      <c r="BV97" s="560"/>
      <c r="BW97" s="560"/>
      <c r="BX97" s="560"/>
      <c r="BY97" s="560"/>
    </row>
    <row r="98" spans="1:77">
      <c r="A98" s="228" t="s">
        <v>149</v>
      </c>
      <c r="B98" s="125"/>
      <c r="C98" s="125"/>
      <c r="D98" s="125"/>
      <c r="E98" s="125"/>
      <c r="F98" s="125"/>
      <c r="G98" s="229"/>
      <c r="AP98" s="330"/>
      <c r="AQ98" s="330"/>
      <c r="AR98" s="330"/>
      <c r="AS98" s="330"/>
      <c r="AU98" s="330"/>
      <c r="AV98" s="330"/>
      <c r="AW98" s="330"/>
      <c r="AY98" s="330"/>
      <c r="AZ98" s="560"/>
      <c r="BA98" s="330"/>
      <c r="BB98" s="560"/>
      <c r="BC98" s="560"/>
      <c r="BD98" s="560"/>
      <c r="BE98" s="330"/>
      <c r="BF98" s="560"/>
      <c r="BG98" s="560"/>
      <c r="BH98" s="560"/>
      <c r="BI98" s="330"/>
      <c r="BJ98" s="560"/>
      <c r="BK98" s="560"/>
      <c r="BL98" s="560"/>
      <c r="BM98" s="330"/>
      <c r="BN98" s="560"/>
      <c r="BO98" s="560"/>
      <c r="BP98" s="560"/>
      <c r="BQ98" s="330"/>
      <c r="BR98" s="560"/>
      <c r="BS98" s="560"/>
      <c r="BT98" s="560"/>
      <c r="BU98" s="330"/>
      <c r="BV98" s="560"/>
      <c r="BW98" s="560"/>
      <c r="BX98" s="560"/>
      <c r="BY98" s="560"/>
    </row>
    <row r="99" spans="1:77">
      <c r="A99" s="708" t="s">
        <v>145</v>
      </c>
      <c r="B99" s="583"/>
      <c r="C99" s="583"/>
      <c r="D99" s="583"/>
      <c r="E99" s="583"/>
      <c r="F99" s="583"/>
      <c r="G99" s="709"/>
      <c r="AP99" s="330"/>
      <c r="AQ99" s="330"/>
      <c r="AR99" s="330"/>
      <c r="AS99" s="330"/>
      <c r="AU99" s="330"/>
      <c r="AV99" s="330"/>
      <c r="AW99" s="330"/>
      <c r="AY99" s="330"/>
      <c r="AZ99" s="560"/>
      <c r="BA99" s="330"/>
      <c r="BB99" s="560"/>
      <c r="BC99" s="560"/>
      <c r="BD99" s="560"/>
      <c r="BE99" s="330"/>
      <c r="BF99" s="560"/>
      <c r="BG99" s="560"/>
      <c r="BH99" s="560"/>
      <c r="BI99" s="330"/>
      <c r="BJ99" s="560"/>
      <c r="BK99" s="560"/>
      <c r="BL99" s="560"/>
      <c r="BM99" s="330"/>
      <c r="BN99" s="560"/>
      <c r="BO99" s="560"/>
      <c r="BP99" s="560"/>
      <c r="BQ99" s="330"/>
      <c r="BR99" s="560"/>
      <c r="BS99" s="560"/>
      <c r="BT99" s="560"/>
      <c r="BU99" s="330"/>
      <c r="BV99" s="560"/>
      <c r="BW99" s="560"/>
      <c r="BX99" s="560"/>
      <c r="BY99" s="560"/>
    </row>
    <row r="100" spans="1:77" ht="15" thickBot="1">
      <c r="A100" s="230">
        <v>0</v>
      </c>
      <c r="B100" s="3">
        <v>0.1</v>
      </c>
      <c r="C100" s="3">
        <v>0.2</v>
      </c>
      <c r="D100" s="3">
        <v>0.4</v>
      </c>
      <c r="E100" s="3">
        <v>0.6</v>
      </c>
      <c r="F100" s="3">
        <v>0.8</v>
      </c>
      <c r="G100" s="85">
        <v>1</v>
      </c>
      <c r="AP100" s="330"/>
      <c r="AQ100" s="330"/>
      <c r="AR100" s="330"/>
      <c r="AS100" s="330"/>
      <c r="AU100" s="330"/>
      <c r="AV100" s="330"/>
      <c r="AW100" s="330"/>
      <c r="AY100" s="330"/>
      <c r="AZ100" s="560"/>
      <c r="BA100" s="330"/>
      <c r="BB100" s="560"/>
      <c r="BC100" s="560"/>
      <c r="BD100" s="560"/>
      <c r="BE100" s="330"/>
      <c r="BF100" s="560"/>
      <c r="BG100" s="560"/>
      <c r="BH100" s="560"/>
      <c r="BI100" s="330"/>
      <c r="BJ100" s="560"/>
      <c r="BK100" s="560"/>
      <c r="BL100" s="560"/>
      <c r="BM100" s="330"/>
      <c r="BN100" s="560"/>
      <c r="BO100" s="560"/>
      <c r="BP100" s="560"/>
      <c r="BQ100" s="330"/>
      <c r="BR100" s="560"/>
      <c r="BS100" s="560"/>
      <c r="BT100" s="560"/>
      <c r="BU100" s="330"/>
      <c r="BV100" s="560"/>
      <c r="BW100" s="560"/>
      <c r="BX100" s="560"/>
      <c r="BY100" s="560"/>
    </row>
    <row r="101" spans="1:77" ht="15" thickBot="1">
      <c r="A101" s="231" cm="1">
        <f t="array" ref="A101">INDEX(IMPROVE!AJ$9:AJ$52,MATCH(1,($A$40=IMPROVE!$A$9:$A$52)*($A$44=IMPROVE!$C$9:$C$52),0))</f>
        <v>0</v>
      </c>
      <c r="B101" s="232" cm="1">
        <f t="array" ref="B101">INDEX(IMPROVE!AK$9:AK$52,MATCH(1,($A$40=IMPROVE!$A$9:$A$52)*($A$44=IMPROVE!$C$9:$C$52),0))</f>
        <v>4.6751304347826164E-2</v>
      </c>
      <c r="C101" s="232" cm="1">
        <f t="array" ref="C101">INDEX(IMPROVE!AL$9:AL$52,MATCH(1,($A$40=IMPROVE!$A$9:$A$52)*($A$44=IMPROVE!$C$9:$C$52),0))</f>
        <v>9.350260869565212E-2</v>
      </c>
      <c r="D101" s="232" cm="1">
        <f t="array" ref="D101">INDEX(IMPROVE!AM$9:AM$52,MATCH(1,($A$40=IMPROVE!$A$9:$A$52)*($A$44=IMPROVE!$C$9:$C$52),0))</f>
        <v>0.18700521739130432</v>
      </c>
      <c r="E101" s="232" cm="1">
        <f t="array" ref="E101">INDEX(IMPROVE!AN$9:AN$52,MATCH(1,($A$40=IMPROVE!$A$9:$A$52)*($A$44=IMPROVE!$C$9:$C$52),0))</f>
        <v>0.28050782608695657</v>
      </c>
      <c r="F101" s="232" cm="1">
        <f t="array" ref="F101">INDEX(IMPROVE!AO$9:AO$52,MATCH(1,($A$40=IMPROVE!$A$9:$A$52)*($A$44=IMPROVE!$C$9:$C$52),0))</f>
        <v>0.37401043478260865</v>
      </c>
      <c r="G101" s="233" cm="1">
        <f t="array" ref="G101">INDEX(IMPROVE!AP$9:AP$52,MATCH(1,($A$40=IMPROVE!$A$9:$A$52)*($A$44=IMPROVE!$C$9:$C$52),0))</f>
        <v>0.46751304347826089</v>
      </c>
      <c r="AP101" s="330"/>
      <c r="AQ101" s="330"/>
      <c r="AR101" s="330"/>
      <c r="AS101" s="330"/>
      <c r="AU101" s="330"/>
      <c r="AV101" s="330"/>
      <c r="AW101" s="330"/>
      <c r="AY101" s="330"/>
      <c r="AZ101" s="560"/>
      <c r="BA101" s="330"/>
      <c r="BB101" s="560"/>
      <c r="BC101" s="560"/>
      <c r="BD101" s="560"/>
      <c r="BE101" s="330"/>
      <c r="BF101" s="560"/>
      <c r="BG101" s="560"/>
      <c r="BH101" s="560"/>
      <c r="BI101" s="330"/>
      <c r="BJ101" s="560"/>
      <c r="BK101" s="560"/>
      <c r="BL101" s="560"/>
      <c r="BM101" s="330"/>
      <c r="BN101" s="560"/>
      <c r="BO101" s="560"/>
      <c r="BP101" s="560"/>
      <c r="BQ101" s="330"/>
      <c r="BR101" s="560"/>
      <c r="BS101" s="560"/>
      <c r="BT101" s="560"/>
      <c r="BU101" s="330"/>
      <c r="BV101" s="560"/>
      <c r="BW101" s="560"/>
      <c r="BX101" s="560"/>
      <c r="BY101" s="560"/>
    </row>
    <row r="102" spans="1:77" ht="15" thickBot="1">
      <c r="AP102" s="330"/>
      <c r="AQ102" s="330"/>
      <c r="AR102" s="330"/>
      <c r="AS102" s="330"/>
      <c r="AU102" s="330"/>
      <c r="AV102" s="330"/>
      <c r="AW102" s="330"/>
      <c r="AY102" s="330"/>
      <c r="AZ102" s="560"/>
      <c r="BA102" s="330"/>
      <c r="BB102" s="560"/>
      <c r="BC102" s="560"/>
      <c r="BD102" s="560"/>
      <c r="BE102" s="330"/>
      <c r="BF102" s="560"/>
      <c r="BG102" s="560"/>
      <c r="BH102" s="560"/>
      <c r="BI102" s="330"/>
      <c r="BJ102" s="560"/>
      <c r="BK102" s="560"/>
      <c r="BL102" s="560"/>
      <c r="BM102" s="330"/>
      <c r="BN102" s="560"/>
      <c r="BO102" s="560"/>
      <c r="BP102" s="560"/>
      <c r="BQ102" s="330"/>
      <c r="BR102" s="560"/>
      <c r="BS102" s="560"/>
      <c r="BT102" s="560"/>
      <c r="BU102" s="330"/>
      <c r="BV102" s="560"/>
      <c r="BW102" s="560"/>
      <c r="BX102" s="560"/>
      <c r="BY102" s="560"/>
    </row>
    <row r="103" spans="1:77">
      <c r="A103" s="228" t="s">
        <v>150</v>
      </c>
      <c r="B103" s="125"/>
      <c r="C103" s="125"/>
      <c r="D103" s="125"/>
      <c r="E103" s="125"/>
      <c r="F103" s="125"/>
      <c r="G103" s="229"/>
      <c r="AP103" s="330"/>
      <c r="AQ103" s="330"/>
      <c r="AR103" s="330"/>
      <c r="AS103" s="330"/>
      <c r="AU103" s="330"/>
      <c r="AV103" s="330"/>
      <c r="AW103" s="330"/>
      <c r="AY103" s="330"/>
      <c r="AZ103" s="560"/>
      <c r="BA103" s="330"/>
      <c r="BB103" s="560"/>
      <c r="BC103" s="560"/>
      <c r="BD103" s="560"/>
      <c r="BE103" s="330"/>
      <c r="BF103" s="560"/>
      <c r="BG103" s="560"/>
      <c r="BH103" s="560"/>
      <c r="BI103" s="330"/>
      <c r="BJ103" s="560"/>
      <c r="BK103" s="560"/>
      <c r="BL103" s="560"/>
      <c r="BM103" s="330"/>
      <c r="BN103" s="560"/>
      <c r="BO103" s="560"/>
      <c r="BP103" s="560"/>
      <c r="BQ103" s="330"/>
      <c r="BR103" s="560"/>
      <c r="BS103" s="560"/>
      <c r="BT103" s="560"/>
      <c r="BU103" s="330"/>
      <c r="BV103" s="560"/>
      <c r="BW103" s="560"/>
      <c r="BX103" s="560"/>
      <c r="BY103" s="560"/>
    </row>
    <row r="104" spans="1:77">
      <c r="A104" s="708" t="s">
        <v>145</v>
      </c>
      <c r="B104" s="583"/>
      <c r="C104" s="583"/>
      <c r="D104" s="583"/>
      <c r="E104" s="583"/>
      <c r="F104" s="583"/>
      <c r="G104" s="709"/>
      <c r="AP104" s="330"/>
      <c r="AQ104" s="330"/>
      <c r="AR104" s="330"/>
      <c r="AS104" s="330"/>
      <c r="AU104" s="330"/>
      <c r="AV104" s="330"/>
      <c r="AW104" s="330"/>
      <c r="AY104" s="330"/>
      <c r="AZ104" s="560"/>
      <c r="BA104" s="330"/>
      <c r="BB104" s="560"/>
      <c r="BC104" s="560"/>
      <c r="BD104" s="560"/>
      <c r="BE104" s="330"/>
      <c r="BF104" s="560"/>
      <c r="BG104" s="560"/>
      <c r="BH104" s="560"/>
      <c r="BI104" s="330"/>
      <c r="BJ104" s="560"/>
      <c r="BK104" s="560"/>
      <c r="BL104" s="560"/>
      <c r="BM104" s="330"/>
      <c r="BN104" s="560"/>
      <c r="BO104" s="560"/>
      <c r="BP104" s="560"/>
      <c r="BQ104" s="330"/>
      <c r="BR104" s="560"/>
      <c r="BS104" s="560"/>
      <c r="BT104" s="560"/>
      <c r="BU104" s="330"/>
      <c r="BV104" s="560"/>
      <c r="BW104" s="560"/>
      <c r="BX104" s="560"/>
      <c r="BY104" s="560"/>
    </row>
    <row r="105" spans="1:77" ht="15" thickBot="1">
      <c r="A105" s="230">
        <v>0</v>
      </c>
      <c r="B105" s="3">
        <v>0.1</v>
      </c>
      <c r="C105" s="3">
        <v>0.2</v>
      </c>
      <c r="D105" s="3">
        <v>0.4</v>
      </c>
      <c r="E105" s="3">
        <v>0.6</v>
      </c>
      <c r="F105" s="3">
        <v>0.8</v>
      </c>
      <c r="G105" s="85">
        <v>1</v>
      </c>
      <c r="AP105" s="330"/>
      <c r="AQ105" s="330"/>
      <c r="AR105" s="330"/>
      <c r="AS105" s="330"/>
      <c r="AU105" s="330"/>
      <c r="AV105" s="330"/>
      <c r="AW105" s="330"/>
      <c r="AY105" s="330"/>
      <c r="AZ105" s="560"/>
      <c r="BA105" s="330"/>
      <c r="BB105" s="560"/>
      <c r="BC105" s="560"/>
      <c r="BD105" s="560"/>
      <c r="BE105" s="330"/>
      <c r="BF105" s="560"/>
      <c r="BG105" s="560"/>
      <c r="BH105" s="560"/>
      <c r="BI105" s="330"/>
      <c r="BJ105" s="560"/>
      <c r="BK105" s="560"/>
      <c r="BL105" s="560"/>
      <c r="BM105" s="330"/>
      <c r="BN105" s="560"/>
      <c r="BO105" s="560"/>
      <c r="BP105" s="560"/>
      <c r="BQ105" s="330"/>
      <c r="BR105" s="560"/>
      <c r="BS105" s="560"/>
      <c r="BT105" s="560"/>
      <c r="BU105" s="330"/>
      <c r="BV105" s="560"/>
      <c r="BW105" s="560"/>
      <c r="BX105" s="560"/>
      <c r="BY105" s="560"/>
    </row>
    <row r="106" spans="1:77" ht="15" thickBot="1">
      <c r="A106" s="231" cm="1">
        <f t="array" ref="A106">INDEX(IMPROVE!AQ$9:AQ$52,MATCH(1,($A$40=IMPROVE!$A$9:$A$52)*($A$44=IMPROVE!$C$9:$C$52),0))</f>
        <v>9.9999999999999978E-2</v>
      </c>
      <c r="B106" s="232" cm="1">
        <f t="array" ref="B106">INDEX(IMPROVE!AR$9:AR$52,MATCH(1,($A$40=IMPROVE!$A$9:$A$52)*($A$44=IMPROVE!$C$9:$C$52),0))</f>
        <v>0.13675130434782606</v>
      </c>
      <c r="C106" s="232" cm="1">
        <f t="array" ref="C106">INDEX(IMPROVE!AS$9:AS$52,MATCH(1,($A$40=IMPROVE!$A$9:$A$52)*($A$44=IMPROVE!$C$9:$C$52),0))</f>
        <v>0.17350260869565207</v>
      </c>
      <c r="D106" s="232" cm="1">
        <f t="array" ref="D106">INDEX(IMPROVE!AT$9:AT$52,MATCH(1,($A$40=IMPROVE!$A$9:$A$52)*($A$44=IMPROVE!$C$9:$C$52),0))</f>
        <v>0.24700521739130435</v>
      </c>
      <c r="E106" s="232" cm="1">
        <f t="array" ref="E106">INDEX(IMPROVE!AU$9:AU$52,MATCH(1,($A$40=IMPROVE!$A$9:$A$52)*($A$44=IMPROVE!$C$9:$C$52),0))</f>
        <v>0.32050782608695644</v>
      </c>
      <c r="F106" s="232" cm="1">
        <f t="array" ref="F106">INDEX(IMPROVE!AV$9:AV$52,MATCH(1,($A$40=IMPROVE!$A$9:$A$52)*($A$44=IMPROVE!$C$9:$C$52),0))</f>
        <v>0.39401043478260872</v>
      </c>
      <c r="G106" s="233" cm="1">
        <f t="array" ref="G106">INDEX(IMPROVE!AW$9:AW$52,MATCH(1,($A$40=IMPROVE!$A$9:$A$52)*($A$44=IMPROVE!$C$9:$C$52),0))</f>
        <v>0.46751304347826089</v>
      </c>
      <c r="AP106" s="330"/>
      <c r="AQ106" s="330"/>
      <c r="AR106" s="330"/>
      <c r="AS106" s="330"/>
      <c r="AU106" s="330"/>
      <c r="AV106" s="330"/>
      <c r="AW106" s="330"/>
      <c r="AY106" s="330"/>
      <c r="AZ106" s="560"/>
      <c r="BA106" s="330"/>
      <c r="BB106" s="560"/>
      <c r="BC106" s="560"/>
      <c r="BD106" s="560"/>
      <c r="BE106" s="330"/>
      <c r="BF106" s="560"/>
      <c r="BG106" s="560"/>
      <c r="BH106" s="560"/>
      <c r="BI106" s="330"/>
      <c r="BJ106" s="560"/>
      <c r="BK106" s="560"/>
      <c r="BL106" s="560"/>
      <c r="BM106" s="330"/>
      <c r="BN106" s="560"/>
      <c r="BO106" s="560"/>
      <c r="BP106" s="560"/>
      <c r="BQ106" s="330"/>
      <c r="BR106" s="560"/>
      <c r="BS106" s="560"/>
      <c r="BT106" s="560"/>
      <c r="BU106" s="330"/>
      <c r="BV106" s="560"/>
      <c r="BW106" s="560"/>
      <c r="BX106" s="560"/>
      <c r="BY106" s="560"/>
    </row>
    <row r="107" spans="1:77" ht="15" thickBot="1">
      <c r="AP107" s="330"/>
      <c r="AQ107" s="330"/>
      <c r="AR107" s="330"/>
      <c r="AS107" s="330"/>
      <c r="AU107" s="330"/>
      <c r="AV107" s="330"/>
      <c r="AW107" s="330"/>
      <c r="AY107" s="330"/>
      <c r="AZ107" s="560"/>
      <c r="BA107" s="330"/>
      <c r="BB107" s="560"/>
      <c r="BC107" s="560"/>
      <c r="BD107" s="560"/>
      <c r="BE107" s="330"/>
      <c r="BF107" s="560"/>
      <c r="BG107" s="560"/>
      <c r="BH107" s="560"/>
      <c r="BI107" s="330"/>
      <c r="BJ107" s="560"/>
      <c r="BK107" s="560"/>
      <c r="BL107" s="560"/>
      <c r="BM107" s="330"/>
      <c r="BN107" s="560"/>
      <c r="BO107" s="560"/>
      <c r="BP107" s="560"/>
      <c r="BQ107" s="330"/>
      <c r="BR107" s="560"/>
      <c r="BS107" s="560"/>
      <c r="BT107" s="560"/>
      <c r="BU107" s="330"/>
      <c r="BV107" s="560"/>
      <c r="BW107" s="560"/>
      <c r="BX107" s="560"/>
      <c r="BY107" s="560"/>
    </row>
    <row r="108" spans="1:77">
      <c r="A108" s="228" t="s">
        <v>151</v>
      </c>
      <c r="B108" s="125"/>
      <c r="C108" s="125"/>
      <c r="D108" s="125"/>
      <c r="E108" s="125"/>
      <c r="F108" s="125"/>
      <c r="G108" s="229"/>
      <c r="AP108" s="330"/>
      <c r="AQ108" s="330"/>
      <c r="AR108" s="330"/>
      <c r="AS108" s="330"/>
      <c r="AU108" s="330"/>
      <c r="AV108" s="330"/>
      <c r="AW108" s="330"/>
      <c r="AY108" s="330"/>
      <c r="AZ108" s="560"/>
      <c r="BA108" s="330"/>
      <c r="BB108" s="560"/>
      <c r="BC108" s="560"/>
      <c r="BD108" s="560"/>
      <c r="BE108" s="330"/>
      <c r="BF108" s="560"/>
      <c r="BG108" s="560"/>
      <c r="BH108" s="560"/>
      <c r="BI108" s="330"/>
      <c r="BJ108" s="560"/>
      <c r="BK108" s="560"/>
      <c r="BL108" s="560"/>
      <c r="BM108" s="330"/>
      <c r="BN108" s="560"/>
      <c r="BO108" s="560"/>
      <c r="BP108" s="560"/>
      <c r="BQ108" s="330"/>
      <c r="BR108" s="560"/>
      <c r="BS108" s="560"/>
      <c r="BT108" s="560"/>
      <c r="BU108" s="330"/>
      <c r="BV108" s="560"/>
      <c r="BW108" s="560"/>
      <c r="BX108" s="560"/>
      <c r="BY108" s="560"/>
    </row>
    <row r="109" spans="1:77">
      <c r="A109" s="708" t="s">
        <v>145</v>
      </c>
      <c r="B109" s="583"/>
      <c r="C109" s="583"/>
      <c r="D109" s="583"/>
      <c r="E109" s="583"/>
      <c r="F109" s="583"/>
      <c r="G109" s="709"/>
      <c r="AP109" s="330"/>
      <c r="AQ109" s="330"/>
      <c r="AR109" s="330"/>
      <c r="AS109" s="330"/>
      <c r="AU109" s="330"/>
      <c r="AV109" s="330"/>
      <c r="AW109" s="330"/>
      <c r="AY109" s="330"/>
      <c r="AZ109" s="560"/>
      <c r="BA109" s="330"/>
      <c r="BB109" s="560"/>
      <c r="BC109" s="560"/>
      <c r="BD109" s="560"/>
      <c r="BE109" s="330"/>
      <c r="BF109" s="560"/>
      <c r="BG109" s="560"/>
      <c r="BH109" s="560"/>
      <c r="BI109" s="330"/>
      <c r="BJ109" s="560"/>
      <c r="BK109" s="560"/>
      <c r="BL109" s="560"/>
      <c r="BM109" s="330"/>
      <c r="BN109" s="560"/>
      <c r="BO109" s="560"/>
      <c r="BP109" s="560"/>
      <c r="BQ109" s="330"/>
      <c r="BR109" s="560"/>
      <c r="BS109" s="560"/>
      <c r="BT109" s="560"/>
      <c r="BU109" s="330"/>
      <c r="BV109" s="560"/>
      <c r="BW109" s="560"/>
      <c r="BX109" s="560"/>
      <c r="BY109" s="560"/>
    </row>
    <row r="110" spans="1:77" ht="15" thickBot="1">
      <c r="A110" s="230">
        <v>0</v>
      </c>
      <c r="B110" s="3">
        <v>0.1</v>
      </c>
      <c r="C110" s="3">
        <v>0.2</v>
      </c>
      <c r="D110" s="3">
        <v>0.4</v>
      </c>
      <c r="E110" s="3">
        <v>0.6</v>
      </c>
      <c r="F110" s="3">
        <v>0.8</v>
      </c>
      <c r="G110" s="85">
        <v>1</v>
      </c>
      <c r="AP110" s="330"/>
      <c r="AQ110" s="330"/>
      <c r="AR110" s="330"/>
      <c r="AS110" s="330"/>
      <c r="AU110" s="330"/>
      <c r="AV110" s="330"/>
      <c r="AW110" s="330"/>
      <c r="AY110" s="330"/>
      <c r="AZ110" s="560"/>
      <c r="BA110" s="330"/>
      <c r="BB110" s="560"/>
      <c r="BC110" s="560"/>
      <c r="BD110" s="560"/>
      <c r="BE110" s="330"/>
      <c r="BF110" s="560"/>
      <c r="BG110" s="560"/>
      <c r="BH110" s="560"/>
      <c r="BI110" s="330"/>
      <c r="BJ110" s="560"/>
      <c r="BK110" s="560"/>
      <c r="BL110" s="560"/>
      <c r="BM110" s="330"/>
      <c r="BN110" s="560"/>
      <c r="BO110" s="560"/>
      <c r="BP110" s="560"/>
      <c r="BQ110" s="330"/>
      <c r="BR110" s="560"/>
      <c r="BS110" s="560"/>
      <c r="BT110" s="560"/>
      <c r="BU110" s="330"/>
      <c r="BV110" s="560"/>
      <c r="BW110" s="560"/>
      <c r="BX110" s="560"/>
      <c r="BY110" s="560"/>
    </row>
    <row r="111" spans="1:77" ht="15" thickBot="1">
      <c r="A111" s="231" cm="1">
        <f t="array" ref="A111">INDEX(IMPROVE!AX$9:AX$52,MATCH(1,($A$40=IMPROVE!$A$9:$A$52)*($A$44=IMPROVE!$C$9:$C$52),0))</f>
        <v>0.19999999999999996</v>
      </c>
      <c r="B111" s="232" cm="1">
        <f t="array" ref="B111">INDEX(IMPROVE!AY$9:AY$52,MATCH(1,($A$40=IMPROVE!$A$9:$A$52)*($A$44=IMPROVE!$C$9:$C$52),0))</f>
        <v>0.22675130434782598</v>
      </c>
      <c r="C111" s="232" cm="1">
        <f t="array" ref="C111">INDEX(IMPROVE!AZ$9:AZ$52,MATCH(1,($A$40=IMPROVE!$A$9:$A$52)*($A$44=IMPROVE!$C$9:$C$52),0))</f>
        <v>0.25350260869565211</v>
      </c>
      <c r="D111" s="232" cm="1">
        <f t="array" ref="D111">INDEX(IMPROVE!BA$9:BA$52,MATCH(1,($A$40=IMPROVE!$A$9:$A$52)*($A$44=IMPROVE!$C$9:$C$52),0))</f>
        <v>0.30700521739130437</v>
      </c>
      <c r="E111" s="232" cm="1">
        <f t="array" ref="E111">INDEX(IMPROVE!BB$9:BB$52,MATCH(1,($A$40=IMPROVE!$A$9:$A$52)*($A$44=IMPROVE!$C$9:$C$52),0))</f>
        <v>0.36050782608695647</v>
      </c>
      <c r="F111" s="232" cm="1">
        <f t="array" ref="F111">INDEX(IMPROVE!BC$9:BC$52,MATCH(1,($A$40=IMPROVE!$A$9:$A$52)*($A$44=IMPROVE!$C$9:$C$52),0))</f>
        <v>0.41401043478260874</v>
      </c>
      <c r="G111" s="233" cm="1">
        <f t="array" ref="G111">INDEX(IMPROVE!BD$9:BD$52,MATCH(1,($A$40=IMPROVE!$A$9:$A$52)*($A$44=IMPROVE!$C$9:$C$52),0))</f>
        <v>0.46751304347826089</v>
      </c>
      <c r="AP111" s="330"/>
      <c r="AQ111" s="330"/>
      <c r="AR111" s="330"/>
      <c r="AS111" s="330"/>
      <c r="AU111" s="330"/>
      <c r="AV111" s="330"/>
      <c r="AW111" s="330"/>
      <c r="AY111" s="330"/>
      <c r="AZ111" s="560"/>
      <c r="BA111" s="330"/>
      <c r="BB111" s="560"/>
      <c r="BC111" s="560"/>
      <c r="BD111" s="560"/>
      <c r="BE111" s="330"/>
      <c r="BF111" s="560"/>
      <c r="BG111" s="560"/>
      <c r="BH111" s="560"/>
      <c r="BI111" s="330"/>
      <c r="BJ111" s="560"/>
      <c r="BK111" s="560"/>
      <c r="BL111" s="560"/>
      <c r="BM111" s="330"/>
      <c r="BN111" s="560"/>
      <c r="BO111" s="560"/>
      <c r="BP111" s="560"/>
      <c r="BQ111" s="330"/>
      <c r="BR111" s="560"/>
      <c r="BS111" s="560"/>
      <c r="BT111" s="560"/>
      <c r="BU111" s="330"/>
      <c r="BV111" s="560"/>
      <c r="BW111" s="560"/>
      <c r="BX111" s="560"/>
      <c r="BY111" s="560"/>
    </row>
    <row r="112" spans="1:77" ht="15" thickBot="1">
      <c r="AP112" s="330"/>
      <c r="AQ112" s="330"/>
      <c r="AR112" s="330"/>
      <c r="AS112" s="330"/>
      <c r="AU112" s="330"/>
      <c r="AV112" s="330"/>
      <c r="AW112" s="330"/>
      <c r="AY112" s="330"/>
      <c r="AZ112" s="560"/>
      <c r="BA112" s="330"/>
      <c r="BB112" s="560"/>
      <c r="BC112" s="560"/>
      <c r="BD112" s="560"/>
      <c r="BE112" s="330"/>
      <c r="BF112" s="560"/>
      <c r="BG112" s="560"/>
      <c r="BH112" s="560"/>
      <c r="BI112" s="330"/>
      <c r="BJ112" s="560"/>
      <c r="BK112" s="560"/>
      <c r="BL112" s="560"/>
      <c r="BM112" s="330"/>
      <c r="BN112" s="560"/>
      <c r="BO112" s="560"/>
      <c r="BP112" s="560"/>
      <c r="BQ112" s="330"/>
      <c r="BR112" s="560"/>
      <c r="BS112" s="560"/>
      <c r="BT112" s="560"/>
      <c r="BU112" s="330"/>
      <c r="BV112" s="560"/>
      <c r="BW112" s="560"/>
      <c r="BX112" s="560"/>
      <c r="BY112" s="560"/>
    </row>
    <row r="113" spans="1:169">
      <c r="A113" s="228" t="s">
        <v>152</v>
      </c>
      <c r="B113" s="125"/>
      <c r="C113" s="125"/>
      <c r="D113" s="125"/>
      <c r="E113" s="125"/>
      <c r="F113" s="125"/>
      <c r="G113" s="229"/>
      <c r="AP113" s="330"/>
      <c r="AQ113" s="330"/>
      <c r="AR113" s="330"/>
      <c r="AS113" s="330"/>
      <c r="AU113" s="330"/>
      <c r="AV113" s="330"/>
      <c r="AW113" s="330"/>
      <c r="AY113" s="330"/>
      <c r="AZ113" s="560"/>
      <c r="BA113" s="330"/>
      <c r="BB113" s="560"/>
      <c r="BC113" s="560"/>
      <c r="BD113" s="560"/>
      <c r="BE113" s="330"/>
      <c r="BF113" s="560"/>
      <c r="BG113" s="560"/>
      <c r="BH113" s="560"/>
      <c r="BI113" s="330"/>
      <c r="BJ113" s="560"/>
      <c r="BK113" s="560"/>
      <c r="BL113" s="560"/>
      <c r="BM113" s="330"/>
      <c r="BN113" s="560"/>
      <c r="BO113" s="560"/>
      <c r="BP113" s="560"/>
      <c r="BQ113" s="330"/>
      <c r="BR113" s="560"/>
      <c r="BS113" s="560"/>
      <c r="BT113" s="560"/>
      <c r="BU113" s="330"/>
      <c r="BV113" s="560"/>
      <c r="BW113" s="560"/>
      <c r="BX113" s="560"/>
      <c r="BY113" s="560"/>
    </row>
    <row r="114" spans="1:169">
      <c r="A114" s="708" t="s">
        <v>145</v>
      </c>
      <c r="B114" s="583"/>
      <c r="C114" s="583"/>
      <c r="D114" s="583"/>
      <c r="E114" s="583"/>
      <c r="F114" s="583"/>
      <c r="G114" s="709"/>
      <c r="AP114" s="330"/>
      <c r="AQ114" s="330"/>
      <c r="AR114" s="330"/>
      <c r="AS114" s="330"/>
      <c r="AU114" s="330"/>
      <c r="AV114" s="330"/>
      <c r="AW114" s="330"/>
      <c r="AY114" s="330"/>
      <c r="AZ114" s="560"/>
      <c r="BA114" s="330"/>
      <c r="BB114" s="560"/>
      <c r="BC114" s="560"/>
      <c r="BD114" s="560"/>
      <c r="BE114" s="330"/>
      <c r="BF114" s="560"/>
      <c r="BG114" s="560"/>
      <c r="BH114" s="560"/>
      <c r="BI114" s="330"/>
      <c r="BJ114" s="560"/>
      <c r="BK114" s="560"/>
      <c r="BL114" s="560"/>
      <c r="BM114" s="330"/>
      <c r="BN114" s="560"/>
      <c r="BO114" s="560"/>
      <c r="BP114" s="560"/>
      <c r="BQ114" s="330"/>
      <c r="BR114" s="560"/>
      <c r="BS114" s="560"/>
      <c r="BT114" s="560"/>
      <c r="BU114" s="330"/>
      <c r="BV114" s="560"/>
      <c r="BW114" s="560"/>
      <c r="BX114" s="560"/>
      <c r="BY114" s="560"/>
    </row>
    <row r="115" spans="1:169" ht="15" thickBot="1">
      <c r="A115" s="230">
        <v>0</v>
      </c>
      <c r="B115" s="3">
        <v>0.1</v>
      </c>
      <c r="C115" s="3">
        <v>0.2</v>
      </c>
      <c r="D115" s="3">
        <v>0.4</v>
      </c>
      <c r="E115" s="3">
        <v>0.6</v>
      </c>
      <c r="F115" s="3">
        <v>0.8</v>
      </c>
      <c r="G115" s="85">
        <v>1</v>
      </c>
      <c r="AY115" s="330"/>
    </row>
    <row r="116" spans="1:169" ht="15" thickBot="1">
      <c r="A116" s="231" cm="1">
        <f t="array" ref="A116">INDEX(IMPROVE!BE$9:BE$52,MATCH(1,($A$40=IMPROVE!$A$9:$A$52)*($A$44=IMPROVE!$C$9:$C$52),0))</f>
        <v>0.30000000000000004</v>
      </c>
      <c r="B116" s="232" cm="1">
        <f t="array" ref="B116">INDEX(IMPROVE!BF$9:BF$52,MATCH(1,($A$40=IMPROVE!$A$9:$A$52)*($A$44=IMPROVE!$C$9:$C$52),0))</f>
        <v>0.31675130434782611</v>
      </c>
      <c r="C116" s="232" cm="1">
        <f t="array" ref="C116">INDEX(IMPROVE!BG$9:BG$52,MATCH(1,($A$40=IMPROVE!$A$9:$A$52)*($A$44=IMPROVE!$C$9:$C$52),0))</f>
        <v>0.33350260869565213</v>
      </c>
      <c r="D116" s="232" cm="1">
        <f t="array" ref="D116">INDEX(IMPROVE!BH$9:BH$52,MATCH(1,($A$40=IMPROVE!$A$9:$A$52)*($A$44=IMPROVE!$C$9:$C$52),0))</f>
        <v>0.36700521739130437</v>
      </c>
      <c r="E116" s="232" cm="1">
        <f t="array" ref="E116">INDEX(IMPROVE!BI$9:BI$52,MATCH(1,($A$40=IMPROVE!$A$9:$A$52)*($A$44=IMPROVE!$C$9:$C$52),0))</f>
        <v>0.40050782608695656</v>
      </c>
      <c r="F116" s="232" cm="1">
        <f t="array" ref="F116">INDEX(IMPROVE!BJ$9:BJ$52,MATCH(1,($A$40=IMPROVE!$A$9:$A$52)*($A$44=IMPROVE!$C$9:$C$52),0))</f>
        <v>0.4340104347826087</v>
      </c>
      <c r="G116" s="233" cm="1">
        <f t="array" ref="G116">INDEX(IMPROVE!BK$9:BK$52,MATCH(1,($A$40=IMPROVE!$A$9:$A$52)*($A$44=IMPROVE!$C$9:$C$52),0))</f>
        <v>0.46751304347826089</v>
      </c>
      <c r="AP116" s="330"/>
      <c r="AQ116" s="330"/>
      <c r="AR116" s="330"/>
      <c r="AS116" s="330"/>
      <c r="AU116" s="330"/>
      <c r="AV116" s="330"/>
      <c r="AW116" s="330"/>
      <c r="AY116" s="330"/>
      <c r="AZ116" s="330"/>
      <c r="BA116" s="330"/>
      <c r="BB116" s="330"/>
      <c r="BC116" s="330"/>
      <c r="BD116" s="330"/>
      <c r="BE116" s="330"/>
      <c r="BF116" s="330"/>
      <c r="BG116" s="330"/>
      <c r="BH116" s="330"/>
      <c r="BI116" s="330"/>
      <c r="BJ116" s="330"/>
      <c r="BK116" s="330"/>
      <c r="BL116" s="330"/>
      <c r="BM116" s="330"/>
      <c r="BN116" s="330"/>
      <c r="BO116" s="330"/>
      <c r="BP116" s="330"/>
      <c r="BQ116" s="330"/>
      <c r="BR116" s="330"/>
      <c r="BS116" s="330"/>
      <c r="BT116" s="330"/>
      <c r="BU116" s="330"/>
      <c r="BV116" s="330"/>
      <c r="BW116" s="330"/>
      <c r="BX116" s="330"/>
      <c r="BY116" s="330"/>
    </row>
    <row r="117" spans="1:169">
      <c r="AP117" s="64"/>
      <c r="AQ117" s="64"/>
      <c r="AR117" s="64"/>
      <c r="AS117" s="64"/>
      <c r="AU117" s="64"/>
      <c r="AV117" s="64"/>
      <c r="AW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row>
    <row r="118" spans="1:169">
      <c r="AP118" s="5"/>
      <c r="AQ118" s="5"/>
      <c r="AR118" s="5"/>
      <c r="AS118" s="5"/>
      <c r="AU118" s="5"/>
      <c r="AV118" s="5"/>
      <c r="AW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row>
    <row r="121" spans="1:169" ht="15" thickBot="1">
      <c r="EY121" s="3">
        <f>'1 StrategyMix for CarbonTargets'!$V$46</f>
        <v>0.8</v>
      </c>
    </row>
    <row r="122" spans="1:169" ht="72.5">
      <c r="EX122" s="228"/>
      <c r="EY122" s="125" t="s">
        <v>226</v>
      </c>
      <c r="EZ122" s="569" t="s">
        <v>227</v>
      </c>
      <c r="FA122" s="570" t="s">
        <v>218</v>
      </c>
      <c r="FB122" s="570" t="s">
        <v>224</v>
      </c>
      <c r="FC122" s="126" t="str">
        <f>HLOOKUP(FC$1,'Timing calculations'!$EY$5:$IW$40,2,FALSE)</f>
        <v>80% BEV</v>
      </c>
      <c r="FD122" s="571" t="str">
        <f>HLOOKUP(FD$1,'Timing calculations'!$EY$5:$IW$40,2,FALSE)</f>
        <v>ICE fuel efficiency@80%BEV</v>
      </c>
      <c r="FE122" s="572" t="s">
        <v>265</v>
      </c>
      <c r="FF122" s="572" t="s">
        <v>254</v>
      </c>
      <c r="FG122" s="572" t="s">
        <v>253</v>
      </c>
      <c r="FH122" s="573" t="s">
        <v>119</v>
      </c>
      <c r="FI122" s="573" t="s">
        <v>118</v>
      </c>
      <c r="FJ122" s="573" t="s">
        <v>127</v>
      </c>
      <c r="FK122" s="574" t="s">
        <v>129</v>
      </c>
      <c r="FL122" s="573" t="s">
        <v>305</v>
      </c>
      <c r="FM122" s="575" t="s">
        <v>306</v>
      </c>
    </row>
    <row r="123" spans="1:169">
      <c r="EX123" s="346">
        <v>1990</v>
      </c>
      <c r="EY123" s="5">
        <f>$EY7</f>
        <v>1</v>
      </c>
      <c r="EZ123" s="5">
        <f>HLOOKUP(EZ$1,'Timing calculations'!$EY$5:$IW$40,3,FALSE)</f>
        <v>0</v>
      </c>
      <c r="FA123" s="5">
        <f>HLOOKUP(FA$1,'Timing calculations'!$EY$5:$IW$40,3,FALSE)</f>
        <v>1</v>
      </c>
      <c r="FB123" s="5">
        <f>HLOOKUP(FB$1,'Timing calculations'!$EY$5:$IW$40,3,FALSE)</f>
        <v>0</v>
      </c>
      <c r="FC123" s="5">
        <f>HLOOKUP(FC$1,'Timing calculations'!$EY$5:$IW$40,3,FALSE)</f>
        <v>0</v>
      </c>
      <c r="FD123" s="5">
        <f>HLOOKUP(FD$1,'Timing calculations'!$EY$5:$IW$40,3,FALSE)</f>
        <v>0</v>
      </c>
      <c r="FE123" s="5">
        <f>HLOOKUP(FE$1,'Timing calculations'!$EY$5:$IW$40,3,FALSE)</f>
        <v>0</v>
      </c>
      <c r="FF123" s="5">
        <f>HLOOKUP(FF$1,'Timing calculations'!$EY$5:$IW$40,3,FALSE)</f>
        <v>0</v>
      </c>
      <c r="FG123" s="5">
        <f>HLOOKUP(FG$1,'Timing calculations'!$EY$5:$IW$40,3,FALSE)</f>
        <v>0</v>
      </c>
      <c r="FH123" s="5">
        <f>HLOOKUP(FH$1,'Timing calculations'!$EY$5:$IW$40,3,FALSE)</f>
        <v>0</v>
      </c>
      <c r="FI123" s="5">
        <f>HLOOKUP(FI$1,'Timing calculations'!$EY$5:$IW$40,3,FALSE)</f>
        <v>0</v>
      </c>
      <c r="FJ123" s="5">
        <f>HLOOKUP(FJ$1,'Timing calculations'!$EY$5:$IW$40,3,FALSE)</f>
        <v>0</v>
      </c>
      <c r="FK123" s="5">
        <f>HLOOKUP(FK$1,'Timing calculations'!$EY$5:$IW$40,3,FALSE)</f>
        <v>0</v>
      </c>
      <c r="FL123" s="3">
        <f>EY123</f>
        <v>1</v>
      </c>
      <c r="FM123" s="108">
        <f>FA123</f>
        <v>1</v>
      </c>
    </row>
    <row r="124" spans="1:169">
      <c r="EX124" s="89">
        <v>2000</v>
      </c>
      <c r="EY124" s="5">
        <f t="shared" ref="EY124:EY156" si="204">$EY8</f>
        <v>0.98333333333333328</v>
      </c>
      <c r="EZ124" s="5">
        <f>HLOOKUP(EZ$1,'Timing calculations'!$EY$5:$IW$40,4,FALSE)</f>
        <v>0</v>
      </c>
      <c r="FA124" s="5">
        <f>HLOOKUP(FA$1,'Timing calculations'!$EY$5:$IW$40,4,FALSE)</f>
        <v>0.98333333333333328</v>
      </c>
      <c r="FB124" s="5">
        <f>HLOOKUP(FB$1,'Timing calculations'!$EY$5:$IW$40,4,FALSE)</f>
        <v>0</v>
      </c>
      <c r="FC124" s="5">
        <f>HLOOKUP(FC$1,'Timing calculations'!$EY$5:$IW$40,4,FALSE)</f>
        <v>0</v>
      </c>
      <c r="FD124" s="5">
        <f>HLOOKUP(FD$1,'Timing calculations'!$EY$5:$IW$40,4,FALSE)</f>
        <v>0</v>
      </c>
      <c r="FE124" s="5">
        <f>HLOOKUP(FE$1,'Timing calculations'!$EY$5:$IW$40,4,FALSE)</f>
        <v>0</v>
      </c>
      <c r="FF124" s="5">
        <f>HLOOKUP(FF$1,'Timing calculations'!$EY$5:$IW$40,4,FALSE)</f>
        <v>0</v>
      </c>
      <c r="FG124" s="5">
        <f>HLOOKUP(FG$1,'Timing calculations'!$EY$5:$IW$40,4,FALSE)</f>
        <v>0</v>
      </c>
      <c r="FH124" s="5">
        <f>HLOOKUP(FH$1,'Timing calculations'!$EY$5:$IW$40,4,FALSE)</f>
        <v>0</v>
      </c>
      <c r="FI124" s="5">
        <f>HLOOKUP(FI$1,'Timing calculations'!$EY$5:$IW$40,4,FALSE)</f>
        <v>0</v>
      </c>
      <c r="FJ124" s="5">
        <f>HLOOKUP(FJ$1,'Timing calculations'!$EY$5:$IW$40,4,FALSE)</f>
        <v>0</v>
      </c>
      <c r="FK124" s="5">
        <f>HLOOKUP(FK$1,'Timing calculations'!$EY$5:$IW$40,4,FALSE)</f>
        <v>0</v>
      </c>
      <c r="FL124" s="3">
        <f>EY124</f>
        <v>0.98333333333333328</v>
      </c>
      <c r="FM124" s="108">
        <f>FA124</f>
        <v>0.98333333333333328</v>
      </c>
    </row>
    <row r="125" spans="1:169">
      <c r="EX125" s="346">
        <v>2010</v>
      </c>
      <c r="EY125" s="5">
        <f t="shared" si="204"/>
        <v>0.96666666666666656</v>
      </c>
      <c r="EZ125" s="5">
        <f>HLOOKUP(EZ$1,'Timing calculations'!$EY$5:$IW$40,5,FALSE)</f>
        <v>0</v>
      </c>
      <c r="FA125" s="5">
        <f>HLOOKUP(FA$1,'Timing calculations'!$EY$5:$IW$40,5,FALSE)</f>
        <v>0.96666666666666656</v>
      </c>
      <c r="FB125" s="5">
        <f>HLOOKUP(FB$1,'Timing calculations'!$EY$5:$IW$40,5,FALSE)</f>
        <v>0</v>
      </c>
      <c r="FC125" s="5">
        <f>HLOOKUP(FC$1,'Timing calculations'!$EY$5:$IW$40,5,FALSE)</f>
        <v>0</v>
      </c>
      <c r="FD125" s="5">
        <f>HLOOKUP(FD$1,'Timing calculations'!$EY$5:$IW$40,5,FALSE)</f>
        <v>0</v>
      </c>
      <c r="FE125" s="5">
        <f>HLOOKUP(FE$1,'Timing calculations'!$EY$5:$IW$40,5,FALSE)</f>
        <v>0</v>
      </c>
      <c r="FF125" s="5">
        <f>HLOOKUP(FF$1,'Timing calculations'!$EY$5:$IW$40,5,FALSE)</f>
        <v>0</v>
      </c>
      <c r="FG125" s="5">
        <f>HLOOKUP(FG$1,'Timing calculations'!$EY$5:$IW$40,5,FALSE)</f>
        <v>0</v>
      </c>
      <c r="FH125" s="5">
        <f>HLOOKUP(FH$1,'Timing calculations'!$EY$5:$IW$40,5,FALSE)</f>
        <v>0</v>
      </c>
      <c r="FI125" s="5">
        <f>HLOOKUP(FI$1,'Timing calculations'!$EY$5:$IW$40,5,FALSE)</f>
        <v>0</v>
      </c>
      <c r="FJ125" s="5">
        <f>HLOOKUP(FJ$1,'Timing calculations'!$EY$5:$IW$40,5,FALSE)</f>
        <v>0</v>
      </c>
      <c r="FK125" s="5">
        <f>HLOOKUP(FK$1,'Timing calculations'!$EY$5:$IW$40,5,FALSE)</f>
        <v>0</v>
      </c>
      <c r="FL125" s="3">
        <f>EY125</f>
        <v>0.96666666666666656</v>
      </c>
      <c r="FM125" s="108">
        <f>FA125</f>
        <v>0.96666666666666656</v>
      </c>
    </row>
    <row r="126" spans="1:169">
      <c r="EX126" s="346">
        <v>2020</v>
      </c>
      <c r="EY126" s="5">
        <f t="shared" si="204"/>
        <v>0.95</v>
      </c>
      <c r="EZ126" s="5">
        <f>HLOOKUP(EZ$1,'Timing calculations'!$EY$5:$IW$40,6,FALSE)</f>
        <v>0.95</v>
      </c>
      <c r="FA126" s="5">
        <f>HLOOKUP(FA$1,'Timing calculations'!$EY$5:$IW$40,6,FALSE)</f>
        <v>0.95</v>
      </c>
      <c r="FB126" s="5">
        <f>HLOOKUP(FB$1,'Timing calculations'!$EY$5:$IW$40,6,FALSE)</f>
        <v>0</v>
      </c>
      <c r="FC126" s="5">
        <f>HLOOKUP(FC$1,'Timing calculations'!$EY$5:$IW$40,6,FALSE)</f>
        <v>0</v>
      </c>
      <c r="FD126" s="5">
        <f>HLOOKUP(FD$1,'Timing calculations'!$EY$5:$IW$40,6,FALSE)</f>
        <v>0</v>
      </c>
      <c r="FE126" s="5">
        <f>HLOOKUP(FE$1,'Timing calculations'!$EY$5:$IW$40,6,FALSE)</f>
        <v>0</v>
      </c>
      <c r="FF126" s="5">
        <f>HLOOKUP(FF$1,'Timing calculations'!$EY$5:$IW$40,6,FALSE)</f>
        <v>0</v>
      </c>
      <c r="FG126" s="5">
        <f>HLOOKUP(FG$1,'Timing calculations'!$EY$5:$IW$40,6,FALSE)</f>
        <v>0</v>
      </c>
      <c r="FH126" s="5">
        <f>HLOOKUP(FH$1,'Timing calculations'!$EY$5:$IW$40,6,FALSE)</f>
        <v>0</v>
      </c>
      <c r="FI126" s="5">
        <f>HLOOKUP(FI$1,'Timing calculations'!$EY$5:$IW$40,6,FALSE)</f>
        <v>0</v>
      </c>
      <c r="FJ126" s="5">
        <f>HLOOKUP(FJ$1,'Timing calculations'!$EY$5:$IW$40,6,FALSE)</f>
        <v>0</v>
      </c>
      <c r="FK126" s="5">
        <f>HLOOKUP(FK$1,'Timing calculations'!$EY$5:$IW$40,6,FALSE)</f>
        <v>0</v>
      </c>
      <c r="FL126" s="5">
        <f>EY126</f>
        <v>0.95</v>
      </c>
      <c r="FM126" s="108">
        <f>EZ126</f>
        <v>0.95</v>
      </c>
    </row>
    <row r="127" spans="1:169">
      <c r="EX127" s="89">
        <v>2021</v>
      </c>
      <c r="EY127" s="5">
        <f t="shared" si="204"/>
        <v>0.95333333333333325</v>
      </c>
      <c r="EZ127" s="5">
        <f>HLOOKUP(EZ$1,'Timing calculations'!$EY$5:$IW$40,7,FALSE)</f>
        <v>0</v>
      </c>
      <c r="FA127" s="5">
        <f>HLOOKUP(FA$1,'Timing calculations'!$EY$5:$IW$40,7,FALSE)</f>
        <v>0.92126769893611948</v>
      </c>
      <c r="FB127" s="5">
        <f>HLOOKUP(FB$1,'Timing calculations'!$EY$5:$IW$40,7,FALSE)</f>
        <v>0.05</v>
      </c>
      <c r="FC127" s="5">
        <f>HLOOKUP(FC$1,'Timing calculations'!$EY$5:$IW$40,7,FALSE)</f>
        <v>0</v>
      </c>
      <c r="FD127" s="5">
        <f>HLOOKUP(FD$1,'Timing calculations'!$EY$5:$IW$40,7,FALSE)</f>
        <v>5.0072235294117617E-3</v>
      </c>
      <c r="FE127" s="5">
        <f>HLOOKUP(FE$1,'Timing calculations'!$EY$5:$IW$40,7,FALSE)</f>
        <v>1.6404866180048626E-2</v>
      </c>
      <c r="FF127" s="5">
        <f>HLOOKUP(FF$1,'Timing calculations'!$EY$5:$IW$40,7,FALSE)</f>
        <v>3.4909164639092124E-3</v>
      </c>
      <c r="FG127" s="5">
        <f>HLOOKUP(FG$1,'Timing calculations'!$EY$5:$IW$40,7,FALSE)</f>
        <v>1.684428223844281E-3</v>
      </c>
      <c r="FH127" s="5">
        <f>HLOOKUP(FH$1,'Timing calculations'!$EY$5:$IW$40,7,FALSE)</f>
        <v>4.5149999999999479E-3</v>
      </c>
      <c r="FI127" s="5">
        <f>HLOOKUP(FI$1,'Timing calculations'!$EY$5:$IW$40,7,FALSE)</f>
        <v>0</v>
      </c>
      <c r="FJ127" s="5">
        <f>HLOOKUP(FJ$1,'Timing calculations'!$EY$5:$IW$40,7,FALSE)</f>
        <v>0</v>
      </c>
      <c r="FK127" s="5">
        <f>HLOOKUP(FK$1,'Timing calculations'!$EY$5:$IW$40,7,FALSE)</f>
        <v>9.6319999999996064E-4</v>
      </c>
      <c r="FL127" s="64">
        <f>FL126-((FL$126-0.1)/30)</f>
        <v>0.92166666666666663</v>
      </c>
      <c r="FM127" s="280">
        <f>FM126-((FM$126-0.45)/10)</f>
        <v>0.89999999999999991</v>
      </c>
    </row>
    <row r="128" spans="1:169">
      <c r="EX128" s="89">
        <v>2022</v>
      </c>
      <c r="EY128" s="5">
        <f t="shared" si="204"/>
        <v>0.95666666666666667</v>
      </c>
      <c r="EZ128" s="5">
        <f>HLOOKUP(EZ$1,'Timing calculations'!$EY$5:$IW$40,8,FALSE)</f>
        <v>0</v>
      </c>
      <c r="FA128" s="5">
        <f>HLOOKUP(FA$1,'Timing calculations'!$EY$5:$IW$40,8,FALSE)</f>
        <v>0.89232233717856968</v>
      </c>
      <c r="FB128" s="5">
        <f>HLOOKUP(FB$1,'Timing calculations'!$EY$5:$IW$40,8,FALSE)</f>
        <v>0.05</v>
      </c>
      <c r="FC128" s="5">
        <f>HLOOKUP(FC$1,'Timing calculations'!$EY$5:$IW$40,8,FALSE)</f>
        <v>0</v>
      </c>
      <c r="FD128" s="5">
        <f>HLOOKUP(FD$1,'Timing calculations'!$EY$5:$IW$40,8,FALSE)</f>
        <v>1.0047717647058819E-2</v>
      </c>
      <c r="FE128" s="5">
        <f>HLOOKUP(FE$1,'Timing calculations'!$EY$5:$IW$40,8,FALSE)</f>
        <v>3.2918734793187389E-2</v>
      </c>
      <c r="FF128" s="5">
        <f>HLOOKUP(FF$1,'Timing calculations'!$EY$5:$IW$40,8,FALSE)</f>
        <v>7.0050283860502681E-3</v>
      </c>
      <c r="FG128" s="5">
        <f>HLOOKUP(FG$1,'Timing calculations'!$EY$5:$IW$40,8,FALSE)</f>
        <v>3.3800486618004843E-3</v>
      </c>
      <c r="FH128" s="5">
        <f>HLOOKUP(FH$1,'Timing calculations'!$EY$5:$IW$40,8,FALSE)</f>
        <v>9.0600000000000073E-3</v>
      </c>
      <c r="FI128" s="5">
        <f>HLOOKUP(FI$1,'Timing calculations'!$EY$5:$IW$40,8,FALSE)</f>
        <v>0</v>
      </c>
      <c r="FJ128" s="5">
        <f>HLOOKUP(FJ$1,'Timing calculations'!$EY$5:$IW$40,8,FALSE)</f>
        <v>0</v>
      </c>
      <c r="FK128" s="5">
        <f>HLOOKUP(FK$1,'Timing calculations'!$EY$5:$IW$40,8,FALSE)</f>
        <v>1.9328000000000329E-3</v>
      </c>
      <c r="FL128" s="64">
        <f t="shared" ref="FL128:FL156" si="205">FL127-((FL$126-0.1)/30)</f>
        <v>0.89333333333333331</v>
      </c>
      <c r="FM128" s="280">
        <f t="shared" ref="FM128:FM136" si="206">FM127-((FM$126-0.45)/10)</f>
        <v>0.84999999999999987</v>
      </c>
    </row>
    <row r="129" spans="154:169">
      <c r="EX129" s="89">
        <v>2023</v>
      </c>
      <c r="EY129" s="5">
        <f t="shared" si="204"/>
        <v>0.96</v>
      </c>
      <c r="EZ129" s="5">
        <f>HLOOKUP(EZ$1,'Timing calculations'!$EY$5:$IW$40,9,FALSE)</f>
        <v>0</v>
      </c>
      <c r="FA129" s="5">
        <f>HLOOKUP(FA$1,'Timing calculations'!$EY$5:$IW$40,9,FALSE)</f>
        <v>0.85702225139760491</v>
      </c>
      <c r="FB129" s="5">
        <f>HLOOKUP(FB$1,'Timing calculations'!$EY$5:$IW$40,9,FALSE)</f>
        <v>0.05</v>
      </c>
      <c r="FC129" s="5">
        <f>HLOOKUP(FC$1,'Timing calculations'!$EY$5:$IW$40,9,FALSE)</f>
        <v>9.7535421532753633E-3</v>
      </c>
      <c r="FD129" s="5">
        <f>HLOOKUP(FD$1,'Timing calculations'!$EY$5:$IW$40,9,FALSE)</f>
        <v>1.1257103529411762E-2</v>
      </c>
      <c r="FE129" s="5">
        <f>HLOOKUP(FE$1,'Timing calculations'!$EY$5:$IW$40,9,FALSE)</f>
        <v>4.9541605839416067E-2</v>
      </c>
      <c r="FF129" s="5">
        <f>HLOOKUP(FF$1,'Timing calculations'!$EY$5:$IW$40,9,FALSE)</f>
        <v>1.0542335766423392E-2</v>
      </c>
      <c r="FG129" s="5">
        <f>HLOOKUP(FG$1,'Timing calculations'!$EY$5:$IW$40,9,FALSE)</f>
        <v>5.0868613138686106E-3</v>
      </c>
      <c r="FH129" s="5">
        <f>HLOOKUP(FH$1,'Timing calculations'!$EY$5:$IW$40,9,FALSE)</f>
        <v>1.3634999999999956E-2</v>
      </c>
      <c r="FI129" s="5">
        <f>HLOOKUP(FI$1,'Timing calculations'!$EY$5:$IW$40,9,FALSE)</f>
        <v>0</v>
      </c>
      <c r="FJ129" s="5">
        <f>HLOOKUP(FJ$1,'Timing calculations'!$EY$5:$IW$40,9,FALSE)</f>
        <v>2.524999999999722E-4</v>
      </c>
      <c r="FK129" s="5">
        <f>HLOOKUP(FK$1,'Timing calculations'!$EY$5:$IW$40,9,FALSE)</f>
        <v>2.9087999999999935E-3</v>
      </c>
      <c r="FL129" s="64">
        <f t="shared" si="205"/>
        <v>0.86499999999999999</v>
      </c>
      <c r="FM129" s="280">
        <f t="shared" si="206"/>
        <v>0.79999999999999982</v>
      </c>
    </row>
    <row r="130" spans="154:169">
      <c r="EX130" s="89">
        <v>2024</v>
      </c>
      <c r="EY130" s="5">
        <f t="shared" si="204"/>
        <v>0.96333333333333326</v>
      </c>
      <c r="EZ130" s="5">
        <f>HLOOKUP(EZ$1,'Timing calculations'!$EY$5:$IW$40,10,FALSE)</f>
        <v>0</v>
      </c>
      <c r="FA130" s="5">
        <f>HLOOKUP(FA$1,'Timing calculations'!$EY$5:$IW$40,10,FALSE)</f>
        <v>0.82089921227439566</v>
      </c>
      <c r="FB130" s="5">
        <f>HLOOKUP(FB$1,'Timing calculations'!$EY$5:$IW$40,10,FALSE)</f>
        <v>0.05</v>
      </c>
      <c r="FC130" s="5">
        <f>HLOOKUP(FC$1,'Timing calculations'!$EY$5:$IW$40,10,FALSE)</f>
        <v>2.0140817739439619E-2</v>
      </c>
      <c r="FD130" s="5">
        <f>HLOOKUP(FD$1,'Timing calculations'!$EY$5:$IW$40,10,FALSE)</f>
        <v>1.2474252549019604E-2</v>
      </c>
      <c r="FE130" s="5">
        <f>HLOOKUP(FE$1,'Timing calculations'!$EY$5:$IW$40,10,FALSE)</f>
        <v>6.6273479318734771E-2</v>
      </c>
      <c r="FF130" s="5">
        <f>HLOOKUP(FF$1,'Timing calculations'!$EY$5:$IW$40,10,FALSE)</f>
        <v>1.4102838605028357E-2</v>
      </c>
      <c r="FG130" s="5">
        <f>HLOOKUP(FG$1,'Timing calculations'!$EY$5:$IW$40,10,FALSE)</f>
        <v>6.8048661800486588E-3</v>
      </c>
      <c r="FH130" s="5">
        <f>HLOOKUP(FH$1,'Timing calculations'!$EY$5:$IW$40,10,FALSE)</f>
        <v>1.8240000000000017E-2</v>
      </c>
      <c r="FI130" s="5">
        <f>HLOOKUP(FI$1,'Timing calculations'!$EY$5:$IW$40,10,FALSE)</f>
        <v>0</v>
      </c>
      <c r="FJ130" s="5">
        <f>HLOOKUP(FJ$1,'Timing calculations'!$EY$5:$IW$40,10,FALSE)</f>
        <v>5.0666666666661093E-4</v>
      </c>
      <c r="FK130" s="5">
        <f>HLOOKUP(FK$1,'Timing calculations'!$EY$5:$IW$40,10,FALSE)</f>
        <v>3.8911999999999541E-3</v>
      </c>
      <c r="FL130" s="64">
        <f t="shared" si="205"/>
        <v>0.83666666666666667</v>
      </c>
      <c r="FM130" s="280">
        <f t="shared" si="206"/>
        <v>0.74999999999999978</v>
      </c>
    </row>
    <row r="131" spans="154:169">
      <c r="EX131" s="89">
        <v>2025</v>
      </c>
      <c r="EY131" s="5">
        <f t="shared" si="204"/>
        <v>0.96666666666666667</v>
      </c>
      <c r="EZ131" s="5">
        <f>HLOOKUP(EZ$1,'Timing calculations'!$EY$5:$IW$40,11,FALSE)</f>
        <v>0</v>
      </c>
      <c r="FA131" s="5">
        <f>HLOOKUP(FA$1,'Timing calculations'!$EY$5:$IW$40,11,FALSE)</f>
        <v>0.78306779349541678</v>
      </c>
      <c r="FB131" s="5">
        <f>HLOOKUP(FB$1,'Timing calculations'!$EY$5:$IW$40,11,FALSE)</f>
        <v>0.05</v>
      </c>
      <c r="FC131" s="5">
        <f>HLOOKUP(FC$1,'Timing calculations'!$EY$5:$IW$40,11,FALSE)</f>
        <v>3.1167445379710151E-2</v>
      </c>
      <c r="FD131" s="5">
        <f>HLOOKUP(FD$1,'Timing calculations'!$EY$5:$IW$40,11,FALSE)</f>
        <v>1.3699164705882349E-2</v>
      </c>
      <c r="FE131" s="5">
        <f>HLOOKUP(FE$1,'Timing calculations'!$EY$5:$IW$40,11,FALSE)</f>
        <v>8.3114355231143619E-2</v>
      </c>
      <c r="FF131" s="5">
        <f>HLOOKUP(FF$1,'Timing calculations'!$EY$5:$IW$40,11,FALSE)</f>
        <v>1.7686536901865391E-2</v>
      </c>
      <c r="FG131" s="5">
        <f>HLOOKUP(FG$1,'Timing calculations'!$EY$5:$IW$40,11,FALSE)</f>
        <v>8.534063260340629E-3</v>
      </c>
      <c r="FH131" s="5">
        <f>HLOOKUP(FH$1,'Timing calculations'!$EY$5:$IW$40,11,FALSE)</f>
        <v>2.2874999999999968E-2</v>
      </c>
      <c r="FI131" s="5">
        <f>HLOOKUP(FI$1,'Timing calculations'!$EY$5:$IW$40,11,FALSE)</f>
        <v>8.798076923077345E-4</v>
      </c>
      <c r="FJ131" s="5">
        <f>HLOOKUP(FJ$1,'Timing calculations'!$EY$5:$IW$40,11,FALSE)</f>
        <v>7.62500000000029E-4</v>
      </c>
      <c r="FK131" s="5">
        <f>HLOOKUP(FK$1,'Timing calculations'!$EY$5:$IW$40,11,FALSE)</f>
        <v>4.8800000000000275E-3</v>
      </c>
      <c r="FL131" s="64">
        <f t="shared" si="205"/>
        <v>0.80833333333333335</v>
      </c>
      <c r="FM131" s="280">
        <f t="shared" si="206"/>
        <v>0.69999999999999973</v>
      </c>
    </row>
    <row r="132" spans="154:169">
      <c r="EX132" s="89">
        <v>2026</v>
      </c>
      <c r="EY132" s="5">
        <f t="shared" si="204"/>
        <v>0.97</v>
      </c>
      <c r="EZ132" s="5">
        <f>HLOOKUP(EZ$1,'Timing calculations'!$EY$5:$IW$40,12,FALSE)</f>
        <v>0</v>
      </c>
      <c r="FA132" s="5">
        <f>HLOOKUP(FA$1,'Timing calculations'!$EY$5:$IW$40,12,FALSE)</f>
        <v>0.74439641490098984</v>
      </c>
      <c r="FB132" s="5">
        <f>HLOOKUP(FB$1,'Timing calculations'!$EY$5:$IW$40,12,FALSE)</f>
        <v>0.05</v>
      </c>
      <c r="FC132" s="5">
        <f>HLOOKUP(FC$1,'Timing calculations'!$EY$5:$IW$40,12,FALSE)</f>
        <v>4.2839043695304349E-2</v>
      </c>
      <c r="FD132" s="5">
        <f>HLOOKUP(FD$1,'Timing calculations'!$EY$5:$IW$40,12,FALSE)</f>
        <v>1.4931839999999993E-2</v>
      </c>
      <c r="FE132" s="5">
        <f>HLOOKUP(FE$1,'Timing calculations'!$EY$5:$IW$40,12,FALSE)</f>
        <v>0.10006423357664236</v>
      </c>
      <c r="FF132" s="5">
        <f>HLOOKUP(FF$1,'Timing calculations'!$EY$5:$IW$40,12,FALSE)</f>
        <v>2.1293430656934259E-2</v>
      </c>
      <c r="FG132" s="5">
        <f>HLOOKUP(FG$1,'Timing calculations'!$EY$5:$IW$40,12,FALSE)</f>
        <v>1.0274452554744519E-2</v>
      </c>
      <c r="FH132" s="5">
        <f>HLOOKUP(FH$1,'Timing calculations'!$EY$5:$IW$40,12,FALSE)</f>
        <v>2.7540000000000026E-2</v>
      </c>
      <c r="FI132" s="5">
        <f>HLOOKUP(FI$1,'Timing calculations'!$EY$5:$IW$40,12,FALSE)</f>
        <v>1.7653846153845864E-3</v>
      </c>
      <c r="FJ132" s="5">
        <f>HLOOKUP(FJ$1,'Timing calculations'!$EY$5:$IW$40,12,FALSE)</f>
        <v>1.0200000000000009E-3</v>
      </c>
      <c r="FK132" s="5">
        <f>HLOOKUP(FK$1,'Timing calculations'!$EY$5:$IW$40,12,FALSE)</f>
        <v>5.8751999999999876E-3</v>
      </c>
      <c r="FL132" s="64">
        <f t="shared" si="205"/>
        <v>0.78</v>
      </c>
      <c r="FM132" s="280">
        <f t="shared" si="206"/>
        <v>0.64999999999999969</v>
      </c>
    </row>
    <row r="133" spans="154:169">
      <c r="EX133" s="89">
        <v>2027</v>
      </c>
      <c r="EY133" s="5">
        <f t="shared" si="204"/>
        <v>0.97333333333333327</v>
      </c>
      <c r="EZ133" s="5">
        <f>HLOOKUP(EZ$1,'Timing calculations'!$EY$5:$IW$40,13,FALSE)</f>
        <v>0</v>
      </c>
      <c r="FA133" s="5">
        <f>HLOOKUP(FA$1,'Timing calculations'!$EY$5:$IW$40,13,FALSE)</f>
        <v>0.70487945786989703</v>
      </c>
      <c r="FB133" s="5">
        <f>HLOOKUP(FB$1,'Timing calculations'!$EY$5:$IW$40,13,FALSE)</f>
        <v>0.05</v>
      </c>
      <c r="FC133" s="5">
        <f>HLOOKUP(FC$1,'Timing calculations'!$EY$5:$IW$40,13,FALSE)</f>
        <v>5.5161231307439607E-2</v>
      </c>
      <c r="FD133" s="5">
        <f>HLOOKUP(FD$1,'Timing calculations'!$EY$5:$IW$40,13,FALSE)</f>
        <v>1.6172278431372537E-2</v>
      </c>
      <c r="FE133" s="5">
        <f>HLOOKUP(FE$1,'Timing calculations'!$EY$5:$IW$40,13,FALSE)</f>
        <v>0.11712311435523112</v>
      </c>
      <c r="FF133" s="5">
        <f>HLOOKUP(FF$1,'Timing calculations'!$EY$5:$IW$40,13,FALSE)</f>
        <v>2.4923519870235198E-2</v>
      </c>
      <c r="FG133" s="5">
        <f>HLOOKUP(FG$1,'Timing calculations'!$EY$5:$IW$40,13,FALSE)</f>
        <v>1.2026034063260332E-2</v>
      </c>
      <c r="FH133" s="5">
        <f>HLOOKUP(FH$1,'Timing calculations'!$EY$5:$IW$40,13,FALSE)</f>
        <v>3.2234999999999965E-2</v>
      </c>
      <c r="FI133" s="5">
        <f>HLOOKUP(FI$1,'Timing calculations'!$EY$5:$IW$40,13,FALSE)</f>
        <v>2.6567307692307823E-3</v>
      </c>
      <c r="FJ133" s="5">
        <f>HLOOKUP(FJ$1,'Timing calculations'!$EY$5:$IW$40,13,FALSE)</f>
        <v>1.2791666666666392E-3</v>
      </c>
      <c r="FK133" s="5">
        <f>HLOOKUP(FK$1,'Timing calculations'!$EY$5:$IW$40,13,FALSE)</f>
        <v>6.876799999999946E-3</v>
      </c>
      <c r="FL133" s="64">
        <f t="shared" si="205"/>
        <v>0.75166666666666671</v>
      </c>
      <c r="FM133" s="280">
        <f t="shared" si="206"/>
        <v>0.59999999999999964</v>
      </c>
    </row>
    <row r="134" spans="154:169">
      <c r="EX134" s="89">
        <v>2028</v>
      </c>
      <c r="EY134" s="5">
        <f t="shared" si="204"/>
        <v>0.97666666666666657</v>
      </c>
      <c r="EZ134" s="5">
        <f>HLOOKUP(EZ$1,'Timing calculations'!$EY$5:$IW$40,14,FALSE)</f>
        <v>0</v>
      </c>
      <c r="FA134" s="5">
        <f>HLOOKUP(FA$1,'Timing calculations'!$EY$5:$IW$40,14,FALSE)</f>
        <v>0.66451130378092094</v>
      </c>
      <c r="FB134" s="5">
        <f>HLOOKUP(FB$1,'Timing calculations'!$EY$5:$IW$40,14,FALSE)</f>
        <v>0.05</v>
      </c>
      <c r="FC134" s="5">
        <f>HLOOKUP(FC$1,'Timing calculations'!$EY$5:$IW$40,14,FALSE)</f>
        <v>6.813962683733335E-2</v>
      </c>
      <c r="FD134" s="5">
        <f>HLOOKUP(FD$1,'Timing calculations'!$EY$5:$IW$40,14,FALSE)</f>
        <v>1.7420479999999992E-2</v>
      </c>
      <c r="FE134" s="5">
        <f>HLOOKUP(FE$1,'Timing calculations'!$EY$5:$IW$40,14,FALSE)</f>
        <v>0.13429099756690993</v>
      </c>
      <c r="FF134" s="5">
        <f>HLOOKUP(FF$1,'Timing calculations'!$EY$5:$IW$40,14,FALSE)</f>
        <v>2.8576804541768096E-2</v>
      </c>
      <c r="FG134" s="5">
        <f>HLOOKUP(FG$1,'Timing calculations'!$EY$5:$IW$40,14,FALSE)</f>
        <v>1.378880778588807E-2</v>
      </c>
      <c r="FH134" s="5">
        <f>HLOOKUP(FH$1,'Timing calculations'!$EY$5:$IW$40,14,FALSE)</f>
        <v>3.6960000000000028E-2</v>
      </c>
      <c r="FI134" s="5">
        <f>HLOOKUP(FI$1,'Timing calculations'!$EY$5:$IW$40,14,FALSE)</f>
        <v>3.5538461538462095E-3</v>
      </c>
      <c r="FJ134" s="5">
        <f>HLOOKUP(FJ$1,'Timing calculations'!$EY$5:$IW$40,14,FALSE)</f>
        <v>1.5399999999999444E-3</v>
      </c>
      <c r="FK134" s="5">
        <f>HLOOKUP(FK$1,'Timing calculations'!$EY$5:$IW$40,14,FALSE)</f>
        <v>7.8848000000000199E-3</v>
      </c>
      <c r="FL134" s="64">
        <f t="shared" si="205"/>
        <v>0.72333333333333338</v>
      </c>
      <c r="FM134" s="280">
        <f t="shared" si="206"/>
        <v>0.5499999999999996</v>
      </c>
    </row>
    <row r="135" spans="154:169">
      <c r="EX135" s="89">
        <v>2029</v>
      </c>
      <c r="EY135" s="5">
        <f t="shared" si="204"/>
        <v>0.98</v>
      </c>
      <c r="EZ135" s="5">
        <f>HLOOKUP(EZ$1,'Timing calculations'!$EY$5:$IW$40,15,FALSE)</f>
        <v>0</v>
      </c>
      <c r="FA135" s="5">
        <f>HLOOKUP(FA$1,'Timing calculations'!$EY$5:$IW$40,15,FALSE)</f>
        <v>0.62328633401284472</v>
      </c>
      <c r="FB135" s="5">
        <f>HLOOKUP(FB$1,'Timing calculations'!$EY$5:$IW$40,15,FALSE)</f>
        <v>0.05</v>
      </c>
      <c r="FC135" s="5">
        <f>HLOOKUP(FC$1,'Timing calculations'!$EY$5:$IW$40,15,FALSE)</f>
        <v>8.177984890620292E-2</v>
      </c>
      <c r="FD135" s="5">
        <f>HLOOKUP(FD$1,'Timing calculations'!$EY$5:$IW$40,15,FALSE)</f>
        <v>1.8676444705882343E-2</v>
      </c>
      <c r="FE135" s="5">
        <f>HLOOKUP(FE$1,'Timing calculations'!$EY$5:$IW$40,15,FALSE)</f>
        <v>0.15156788321167874</v>
      </c>
      <c r="FF135" s="5">
        <f>HLOOKUP(FF$1,'Timing calculations'!$EY$5:$IW$40,15,FALSE)</f>
        <v>3.2253284671532836E-2</v>
      </c>
      <c r="FG135" s="5">
        <f>HLOOKUP(FG$1,'Timing calculations'!$EY$5:$IW$40,15,FALSE)</f>
        <v>1.5562773722627729E-2</v>
      </c>
      <c r="FH135" s="5">
        <f>HLOOKUP(FH$1,'Timing calculations'!$EY$5:$IW$40,15,FALSE)</f>
        <v>4.1714999999999981E-2</v>
      </c>
      <c r="FI135" s="5">
        <f>HLOOKUP(FI$1,'Timing calculations'!$EY$5:$IW$40,15,FALSE)</f>
        <v>4.4567307692307536E-3</v>
      </c>
      <c r="FJ135" s="5">
        <f>HLOOKUP(FJ$1,'Timing calculations'!$EY$5:$IW$40,15,FALSE)</f>
        <v>1.8025000000000302E-3</v>
      </c>
      <c r="FK135" s="5">
        <f>HLOOKUP(FK$1,'Timing calculations'!$EY$5:$IW$40,15,FALSE)</f>
        <v>8.8991999999999804E-3</v>
      </c>
      <c r="FL135" s="64">
        <f t="shared" si="205"/>
        <v>0.69500000000000006</v>
      </c>
      <c r="FM135" s="280">
        <f t="shared" si="206"/>
        <v>0.49999999999999961</v>
      </c>
    </row>
    <row r="136" spans="154:169">
      <c r="EX136" s="89">
        <v>2030</v>
      </c>
      <c r="EY136" s="5">
        <f t="shared" si="204"/>
        <v>0.98333333333333328</v>
      </c>
      <c r="EZ136" s="5">
        <f>HLOOKUP(EZ$1,'Timing calculations'!$EY$5:$IW$40,16,FALSE)</f>
        <v>0</v>
      </c>
      <c r="FA136" s="5">
        <f>HLOOKUP(FA$1,'Timing calculations'!$EY$5:$IW$40,16,FALSE)</f>
        <v>0.58119892994444988</v>
      </c>
      <c r="FB136" s="5">
        <f>HLOOKUP(FB$1,'Timing calculations'!$EY$5:$IW$40,16,FALSE)</f>
        <v>0.05</v>
      </c>
      <c r="FC136" s="5">
        <f>HLOOKUP(FC$1,'Timing calculations'!$EY$5:$IW$40,16,FALSE)</f>
        <v>9.6087516135265713E-2</v>
      </c>
      <c r="FD136" s="5">
        <f>HLOOKUP(FD$1,'Timing calculations'!$EY$5:$IW$40,16,FALSE)</f>
        <v>1.99401725490196E-2</v>
      </c>
      <c r="FE136" s="5">
        <f>HLOOKUP(FE$1,'Timing calculations'!$EY$5:$IW$40,16,FALSE)</f>
        <v>0.16895377128953773</v>
      </c>
      <c r="FF136" s="5">
        <f>HLOOKUP(FF$1,'Timing calculations'!$EY$5:$IW$40,16,FALSE)</f>
        <v>3.595296025952964E-2</v>
      </c>
      <c r="FG136" s="5">
        <f>HLOOKUP(FG$1,'Timing calculations'!$EY$5:$IW$40,16,FALSE)</f>
        <v>1.734793187347931E-2</v>
      </c>
      <c r="FH136" s="5">
        <f>HLOOKUP(FH$1,'Timing calculations'!$EY$5:$IW$40,16,FALSE)</f>
        <v>4.6500000000000048E-2</v>
      </c>
      <c r="FI136" s="5">
        <f>HLOOKUP(FI$1,'Timing calculations'!$EY$5:$IW$40,16,FALSE)</f>
        <v>5.3653846153846425E-3</v>
      </c>
      <c r="FJ136" s="5">
        <f>HLOOKUP(FJ$1,'Timing calculations'!$EY$5:$IW$40,16,FALSE)</f>
        <v>2.0666666666666689E-3</v>
      </c>
      <c r="FK136" s="5">
        <f>HLOOKUP(FK$1,'Timing calculations'!$EY$5:$IW$40,16,FALSE)</f>
        <v>9.9200000000000555E-3</v>
      </c>
      <c r="FL136" s="64">
        <f t="shared" si="205"/>
        <v>0.66666666666666674</v>
      </c>
      <c r="FM136" s="280">
        <f t="shared" si="206"/>
        <v>0.44999999999999962</v>
      </c>
    </row>
    <row r="137" spans="154:169">
      <c r="EX137" s="89">
        <v>2031</v>
      </c>
      <c r="EY137" s="5">
        <f t="shared" si="204"/>
        <v>0.98666666666666658</v>
      </c>
      <c r="EZ137" s="5">
        <f>HLOOKUP(EZ$1,'Timing calculations'!$EY$5:$IW$40,17,FALSE)</f>
        <v>0</v>
      </c>
      <c r="FA137" s="5">
        <f>HLOOKUP(FA$1,'Timing calculations'!$EY$5:$IW$40,17,FALSE)</f>
        <v>0.53824347295452046</v>
      </c>
      <c r="FB137" s="5">
        <f>HLOOKUP(FB$1,'Timing calculations'!$EY$5:$IW$40,17,FALSE)</f>
        <v>0.05</v>
      </c>
      <c r="FC137" s="5">
        <f>HLOOKUP(FC$1,'Timing calculations'!$EY$5:$IW$40,17,FALSE)</f>
        <v>0.11106824714573914</v>
      </c>
      <c r="FD137" s="5">
        <f>HLOOKUP(FD$1,'Timing calculations'!$EY$5:$IW$40,17,FALSE)</f>
        <v>2.1211663529411742E-2</v>
      </c>
      <c r="FE137" s="5">
        <f>HLOOKUP(FE$1,'Timing calculations'!$EY$5:$IW$40,17,FALSE)</f>
        <v>0.18644866180048658</v>
      </c>
      <c r="FF137" s="5">
        <f>HLOOKUP(FF$1,'Timing calculations'!$EY$5:$IW$40,17,FALSE)</f>
        <v>3.9675831305758281E-2</v>
      </c>
      <c r="FG137" s="5">
        <f>HLOOKUP(FG$1,'Timing calculations'!$EY$5:$IW$40,17,FALSE)</f>
        <v>1.9144282238442809E-2</v>
      </c>
      <c r="FH137" s="5">
        <f>HLOOKUP(FH$1,'Timing calculations'!$EY$5:$IW$40,17,FALSE)</f>
        <v>5.1314999999999986E-2</v>
      </c>
      <c r="FI137" s="5">
        <f>HLOOKUP(FI$1,'Timing calculations'!$EY$5:$IW$40,17,FALSE)</f>
        <v>6.2798076923076471E-3</v>
      </c>
      <c r="FJ137" s="5">
        <f>HLOOKUP(FJ$1,'Timing calculations'!$EY$5:$IW$40,17,FALSE)</f>
        <v>2.332499999999973E-3</v>
      </c>
      <c r="FK137" s="5">
        <f>HLOOKUP(FK$1,'Timing calculations'!$EY$5:$IW$40,17,FALSE)</f>
        <v>1.0947200000000015E-2</v>
      </c>
      <c r="FL137" s="64">
        <f t="shared" si="205"/>
        <v>0.63833333333333342</v>
      </c>
      <c r="FM137" s="280">
        <f>FM136-((FM$136-0.1)/20)</f>
        <v>0.43249999999999966</v>
      </c>
    </row>
    <row r="138" spans="154:169">
      <c r="EX138" s="89">
        <v>2032</v>
      </c>
      <c r="EY138" s="5">
        <f t="shared" si="204"/>
        <v>0.99</v>
      </c>
      <c r="EZ138" s="5">
        <f>HLOOKUP(EZ$1,'Timing calculations'!$EY$5:$IW$40,18,FALSE)</f>
        <v>0</v>
      </c>
      <c r="FA138" s="5">
        <f>HLOOKUP(FA$1,'Timing calculations'!$EY$5:$IW$40,18,FALSE)</f>
        <v>0.49441434442183796</v>
      </c>
      <c r="FB138" s="5">
        <f>HLOOKUP(FB$1,'Timing calculations'!$EY$5:$IW$40,18,FALSE)</f>
        <v>0.05</v>
      </c>
      <c r="FC138" s="5">
        <f>HLOOKUP(FC$1,'Timing calculations'!$EY$5:$IW$40,18,FALSE)</f>
        <v>0.1267276605588406</v>
      </c>
      <c r="FD138" s="5">
        <f>HLOOKUP(FD$1,'Timing calculations'!$EY$5:$IW$40,18,FALSE)</f>
        <v>2.2490917647058815E-2</v>
      </c>
      <c r="FE138" s="5">
        <f>HLOOKUP(FE$1,'Timing calculations'!$EY$5:$IW$40,18,FALSE)</f>
        <v>0.20405255474452549</v>
      </c>
      <c r="FF138" s="5">
        <f>HLOOKUP(FF$1,'Timing calculations'!$EY$5:$IW$40,18,FALSE)</f>
        <v>4.3421897810218997E-2</v>
      </c>
      <c r="FG138" s="5">
        <f>HLOOKUP(FG$1,'Timing calculations'!$EY$5:$IW$40,18,FALSE)</f>
        <v>2.0951824817518238E-2</v>
      </c>
      <c r="FH138" s="5">
        <f>HLOOKUP(FH$1,'Timing calculations'!$EY$5:$IW$40,18,FALSE)</f>
        <v>5.616000000000005E-2</v>
      </c>
      <c r="FI138" s="5">
        <f>HLOOKUP(FI$1,'Timing calculations'!$EY$5:$IW$40,18,FALSE)</f>
        <v>7.1999999999999981E-3</v>
      </c>
      <c r="FJ138" s="5">
        <f>HLOOKUP(FJ$1,'Timing calculations'!$EY$5:$IW$40,18,FALSE)</f>
        <v>2.5999999999999448E-3</v>
      </c>
      <c r="FK138" s="5">
        <f>HLOOKUP(FK$1,'Timing calculations'!$EY$5:$IW$40,18,FALSE)</f>
        <v>1.1980799999999974E-2</v>
      </c>
      <c r="FL138" s="64">
        <f t="shared" si="205"/>
        <v>0.6100000000000001</v>
      </c>
      <c r="FM138" s="280">
        <f t="shared" ref="FM138:FM156" si="207">FM137-((FM$136-0.1)/20)</f>
        <v>0.4149999999999997</v>
      </c>
    </row>
    <row r="139" spans="154:169">
      <c r="EX139" s="89">
        <v>2033</v>
      </c>
      <c r="EY139" s="5">
        <f t="shared" si="204"/>
        <v>0.99333333333333329</v>
      </c>
      <c r="EZ139" s="5">
        <f>HLOOKUP(EZ$1,'Timing calculations'!$EY$5:$IW$40,19,FALSE)</f>
        <v>0</v>
      </c>
      <c r="FA139" s="5">
        <f>HLOOKUP(FA$1,'Timing calculations'!$EY$5:$IW$40,19,FALSE)</f>
        <v>0.44970592572518509</v>
      </c>
      <c r="FB139" s="5">
        <f>HLOOKUP(FB$1,'Timing calculations'!$EY$5:$IW$40,19,FALSE)</f>
        <v>0.05</v>
      </c>
      <c r="FC139" s="5">
        <f>HLOOKUP(FC$1,'Timing calculations'!$EY$5:$IW$40,19,FALSE)</f>
        <v>0.14307137499578748</v>
      </c>
      <c r="FD139" s="5">
        <f>HLOOKUP(FD$1,'Timing calculations'!$EY$5:$IW$40,19,FALSE)</f>
        <v>2.3777934901960767E-2</v>
      </c>
      <c r="FE139" s="5">
        <f>HLOOKUP(FE$1,'Timing calculations'!$EY$5:$IW$40,19,FALSE)</f>
        <v>0.22176545012165449</v>
      </c>
      <c r="FF139" s="5">
        <f>HLOOKUP(FF$1,'Timing calculations'!$EY$5:$IW$40,19,FALSE)</f>
        <v>4.7191159772911551E-2</v>
      </c>
      <c r="FG139" s="5">
        <f>HLOOKUP(FG$1,'Timing calculations'!$EY$5:$IW$40,19,FALSE)</f>
        <v>2.2770559610705583E-2</v>
      </c>
      <c r="FH139" s="5">
        <f>HLOOKUP(FH$1,'Timing calculations'!$EY$5:$IW$40,19,FALSE)</f>
        <v>6.1034999999999992E-2</v>
      </c>
      <c r="FI139" s="5">
        <f>HLOOKUP(FI$1,'Timing calculations'!$EY$5:$IW$40,19,FALSE)</f>
        <v>8.1259615384615784E-3</v>
      </c>
      <c r="FJ139" s="5">
        <f>HLOOKUP(FJ$1,'Timing calculations'!$EY$5:$IW$40,19,FALSE)</f>
        <v>2.8691666666666978E-3</v>
      </c>
      <c r="FK139" s="5">
        <f>HLOOKUP(FK$1,'Timing calculations'!$EY$5:$IW$40,19,FALSE)</f>
        <v>1.3020800000000048E-2</v>
      </c>
      <c r="FL139" s="64">
        <f t="shared" si="205"/>
        <v>0.58166666666666678</v>
      </c>
      <c r="FM139" s="280">
        <f t="shared" si="207"/>
        <v>0.39749999999999974</v>
      </c>
    </row>
    <row r="140" spans="154:169">
      <c r="EX140" s="89">
        <v>2034</v>
      </c>
      <c r="EY140" s="5">
        <f t="shared" si="204"/>
        <v>0.99666666666666659</v>
      </c>
      <c r="EZ140" s="5">
        <f>HLOOKUP(EZ$1,'Timing calculations'!$EY$5:$IW$40,20,FALSE)</f>
        <v>0</v>
      </c>
      <c r="FA140" s="5">
        <f>HLOOKUP(FA$1,'Timing calculations'!$EY$5:$IW$40,20,FALSE)</f>
        <v>0.404112598243345</v>
      </c>
      <c r="FB140" s="5">
        <f>HLOOKUP(FB$1,'Timing calculations'!$EY$5:$IW$40,20,FALSE)</f>
        <v>0.05</v>
      </c>
      <c r="FC140" s="5">
        <f>HLOOKUP(FC$1,'Timing calculations'!$EY$5:$IW$40,20,FALSE)</f>
        <v>0.16010500907779712</v>
      </c>
      <c r="FD140" s="5">
        <f>HLOOKUP(FD$1,'Timing calculations'!$EY$5:$IW$40,20,FALSE)</f>
        <v>2.5072715294117639E-2</v>
      </c>
      <c r="FE140" s="5">
        <f>HLOOKUP(FE$1,'Timing calculations'!$EY$5:$IW$40,20,FALSE)</f>
        <v>0.23958734793187345</v>
      </c>
      <c r="FF140" s="5">
        <f>HLOOKUP(FF$1,'Timing calculations'!$EY$5:$IW$40,20,FALSE)</f>
        <v>5.0983617193836178E-2</v>
      </c>
      <c r="FG140" s="5">
        <f>HLOOKUP(FG$1,'Timing calculations'!$EY$5:$IW$40,20,FALSE)</f>
        <v>2.460048661800485E-2</v>
      </c>
      <c r="FH140" s="5">
        <f>HLOOKUP(FH$1,'Timing calculations'!$EY$5:$IW$40,20,FALSE)</f>
        <v>6.5940000000000054E-2</v>
      </c>
      <c r="FI140" s="5">
        <f>HLOOKUP(FI$1,'Timing calculations'!$EY$5:$IW$40,20,FALSE)</f>
        <v>9.0576923076922753E-3</v>
      </c>
      <c r="FJ140" s="5">
        <f>HLOOKUP(FJ$1,'Timing calculations'!$EY$5:$IW$40,20,FALSE)</f>
        <v>3.1400000000000026E-3</v>
      </c>
      <c r="FK140" s="5">
        <f>HLOOKUP(FK$1,'Timing calculations'!$EY$5:$IW$40,20,FALSE)</f>
        <v>1.4067200000000007E-2</v>
      </c>
      <c r="FL140" s="64">
        <f t="shared" si="205"/>
        <v>0.55333333333333345</v>
      </c>
      <c r="FM140" s="280">
        <f t="shared" si="207"/>
        <v>0.37999999999999978</v>
      </c>
    </row>
    <row r="141" spans="154:169">
      <c r="EX141" s="89">
        <v>2035</v>
      </c>
      <c r="EY141" s="5">
        <f t="shared" si="204"/>
        <v>1</v>
      </c>
      <c r="EZ141" s="5">
        <f>HLOOKUP(EZ$1,'Timing calculations'!$EY$5:$IW$40,21,FALSE)</f>
        <v>0</v>
      </c>
      <c r="FA141" s="5">
        <f>HLOOKUP(FA$1,'Timing calculations'!$EY$5:$IW$40,21,FALSE)</f>
        <v>0.3576287433551002</v>
      </c>
      <c r="FB141" s="5">
        <f>HLOOKUP(FB$1,'Timing calculations'!$EY$5:$IW$40,21,FALSE)</f>
        <v>0.05</v>
      </c>
      <c r="FC141" s="5">
        <f>HLOOKUP(FC$1,'Timing calculations'!$EY$5:$IW$40,21,FALSE)</f>
        <v>0.17783418142608698</v>
      </c>
      <c r="FD141" s="5">
        <f>HLOOKUP(FD$1,'Timing calculations'!$EY$5:$IW$40,21,FALSE)</f>
        <v>2.6375258823529407E-2</v>
      </c>
      <c r="FE141" s="5">
        <f>HLOOKUP(FE$1,'Timing calculations'!$EY$5:$IW$40,21,FALSE)</f>
        <v>0.25751824817518243</v>
      </c>
      <c r="FF141" s="5">
        <f>HLOOKUP(FF$1,'Timing calculations'!$EY$5:$IW$40,21,FALSE)</f>
        <v>5.4799270072992644E-2</v>
      </c>
      <c r="FG141" s="5">
        <f>HLOOKUP(FG$1,'Timing calculations'!$EY$5:$IW$40,21,FALSE)</f>
        <v>2.6441605839416044E-2</v>
      </c>
      <c r="FH141" s="5">
        <f>HLOOKUP(FH$1,'Timing calculations'!$EY$5:$IW$40,21,FALSE)</f>
        <v>7.0875000000000007E-2</v>
      </c>
      <c r="FI141" s="5">
        <f>HLOOKUP(FI$1,'Timing calculations'!$EY$5:$IW$40,21,FALSE)</f>
        <v>9.9951923076923195E-3</v>
      </c>
      <c r="FJ141" s="5">
        <f>HLOOKUP(FJ$1,'Timing calculations'!$EY$5:$IW$40,21,FALSE)</f>
        <v>3.4124999999999741E-3</v>
      </c>
      <c r="FK141" s="5">
        <f>HLOOKUP(FK$1,'Timing calculations'!$EY$5:$IW$40,21,FALSE)</f>
        <v>1.5119999999999967E-2</v>
      </c>
      <c r="FL141" s="64">
        <f t="shared" si="205"/>
        <v>0.52500000000000013</v>
      </c>
      <c r="FM141" s="280">
        <f t="shared" si="207"/>
        <v>0.36249999999999982</v>
      </c>
    </row>
    <row r="142" spans="154:169">
      <c r="EX142" s="89">
        <v>2036</v>
      </c>
      <c r="EY142" s="5">
        <f t="shared" si="204"/>
        <v>1.0033333333333332</v>
      </c>
      <c r="EZ142" s="5">
        <f>HLOOKUP(EZ$1,'Timing calculations'!$EY$5:$IW$40,22,FALSE)</f>
        <v>0</v>
      </c>
      <c r="FA142" s="5">
        <f>HLOOKUP(FA$1,'Timing calculations'!$EY$5:$IW$40,22,FALSE)</f>
        <v>0.3322111268674568</v>
      </c>
      <c r="FB142" s="5">
        <f>HLOOKUP(FB$1,'Timing calculations'!$EY$5:$IW$40,22,FALSE)</f>
        <v>0.05</v>
      </c>
      <c r="FC142" s="5">
        <f>HLOOKUP(FC$1,'Timing calculations'!$EY$5:$IW$40,22,FALSE)</f>
        <v>0.19626451066187436</v>
      </c>
      <c r="FD142" s="5">
        <f>HLOOKUP(FD$1,'Timing calculations'!$EY$5:$IW$40,22,FALSE)</f>
        <v>2.7685565490196067E-2</v>
      </c>
      <c r="FE142" s="5">
        <f>HLOOKUP(FE$1,'Timing calculations'!$EY$5:$IW$40,22,FALSE)</f>
        <v>0.25833576642335754</v>
      </c>
      <c r="FF142" s="5">
        <f>HLOOKUP(FF$1,'Timing calculations'!$EY$5:$IW$40,22,FALSE)</f>
        <v>5.8638118410381156E-2</v>
      </c>
      <c r="FG142" s="5">
        <f>HLOOKUP(FG$1,'Timing calculations'!$EY$5:$IW$40,22,FALSE)</f>
        <v>2.829391727493915E-2</v>
      </c>
      <c r="FH142" s="5">
        <f>HLOOKUP(FH$1,'Timing calculations'!$EY$5:$IW$40,22,FALSE)</f>
        <v>7.1099999999999983E-2</v>
      </c>
      <c r="FI142" s="5">
        <f>HLOOKUP(FI$1,'Timing calculations'!$EY$5:$IW$40,22,FALSE)</f>
        <v>1.093846153846159E-2</v>
      </c>
      <c r="FJ142" s="5">
        <f>HLOOKUP(FJ$1,'Timing calculations'!$EY$5:$IW$40,22,FALSE)</f>
        <v>3.6866666666666103E-3</v>
      </c>
      <c r="FK142" s="5">
        <f>HLOOKUP(FK$1,'Timing calculations'!$EY$5:$IW$40,22,FALSE)</f>
        <v>1.6179200000000036E-2</v>
      </c>
      <c r="FL142" s="64">
        <f t="shared" si="205"/>
        <v>0.49666666666666681</v>
      </c>
      <c r="FM142" s="280">
        <f t="shared" si="207"/>
        <v>0.34499999999999986</v>
      </c>
    </row>
    <row r="143" spans="154:169">
      <c r="EX143" s="89">
        <v>2037</v>
      </c>
      <c r="EY143" s="5">
        <f t="shared" si="204"/>
        <v>1.0066666666666666</v>
      </c>
      <c r="EZ143" s="5">
        <f>HLOOKUP(EZ$1,'Timing calculations'!$EY$5:$IW$40,23,FALSE)</f>
        <v>0</v>
      </c>
      <c r="FA143" s="5">
        <f>HLOOKUP(FA$1,'Timing calculations'!$EY$5:$IW$40,23,FALSE)</f>
        <v>0.30603074816406362</v>
      </c>
      <c r="FB143" s="5">
        <f>HLOOKUP(FB$1,'Timing calculations'!$EY$5:$IW$40,23,FALSE)</f>
        <v>0.05</v>
      </c>
      <c r="FC143" s="5">
        <f>HLOOKUP(FC$1,'Timing calculations'!$EY$5:$IW$40,23,FALSE)</f>
        <v>0.21540161540637687</v>
      </c>
      <c r="FD143" s="5">
        <f>HLOOKUP(FD$1,'Timing calculations'!$EY$5:$IW$40,23,FALSE)</f>
        <v>2.9003635294117661E-2</v>
      </c>
      <c r="FE143" s="5">
        <f>HLOOKUP(FE$1,'Timing calculations'!$EY$5:$IW$40,23,FALSE)</f>
        <v>0.25915328467153281</v>
      </c>
      <c r="FF143" s="5">
        <f>HLOOKUP(FF$1,'Timing calculations'!$EY$5:$IW$40,23,FALSE)</f>
        <v>6.2500162206001672E-2</v>
      </c>
      <c r="FG143" s="5">
        <f>HLOOKUP(FG$1,'Timing calculations'!$EY$5:$IW$40,23,FALSE)</f>
        <v>3.0157420924574199E-2</v>
      </c>
      <c r="FH143" s="5">
        <f>HLOOKUP(FH$1,'Timing calculations'!$EY$5:$IW$40,23,FALSE)</f>
        <v>7.1325000000000013E-2</v>
      </c>
      <c r="FI143" s="5">
        <f>HLOOKUP(FI$1,'Timing calculations'!$EY$5:$IW$40,23,FALSE)</f>
        <v>1.1887499999999983E-2</v>
      </c>
      <c r="FJ143" s="5">
        <f>HLOOKUP(FJ$1,'Timing calculations'!$EY$5:$IW$40,23,FALSE)</f>
        <v>3.9625000000000337E-3</v>
      </c>
      <c r="FK143" s="5">
        <f>HLOOKUP(FK$1,'Timing calculations'!$EY$5:$IW$40,23,FALSE)</f>
        <v>1.7244800000000005E-2</v>
      </c>
      <c r="FL143" s="64">
        <f t="shared" si="205"/>
        <v>0.46833333333333349</v>
      </c>
      <c r="FM143" s="280">
        <f t="shared" si="207"/>
        <v>0.3274999999999999</v>
      </c>
    </row>
    <row r="144" spans="154:169">
      <c r="EX144" s="89">
        <v>2038</v>
      </c>
      <c r="EY144" s="5">
        <f t="shared" si="204"/>
        <v>1.01</v>
      </c>
      <c r="EZ144" s="5">
        <f>HLOOKUP(EZ$1,'Timing calculations'!$EY$5:$IW$40,24,FALSE)</f>
        <v>0</v>
      </c>
      <c r="FA144" s="5">
        <f>HLOOKUP(FA$1,'Timing calculations'!$EY$5:$IW$40,24,FALSE)</f>
        <v>0.28437201215311514</v>
      </c>
      <c r="FB144" s="5">
        <f>HLOOKUP(FB$1,'Timing calculations'!$EY$5:$IW$40,24,FALSE)</f>
        <v>0.05</v>
      </c>
      <c r="FC144" s="5">
        <f>HLOOKUP(FC$1,'Timing calculations'!$EY$5:$IW$40,24,FALSE)</f>
        <v>0.23525111428081161</v>
      </c>
      <c r="FD144" s="5">
        <f>HLOOKUP(FD$1,'Timing calculations'!$EY$5:$IW$40,24,FALSE)</f>
        <v>2.5039444705882347E-2</v>
      </c>
      <c r="FE144" s="5">
        <f>HLOOKUP(FE$1,'Timing calculations'!$EY$5:$IW$40,24,FALSE)</f>
        <v>0.25997080291970803</v>
      </c>
      <c r="FF144" s="5">
        <f>HLOOKUP(FF$1,'Timing calculations'!$EY$5:$IW$40,24,FALSE)</f>
        <v>6.6385401459853971E-2</v>
      </c>
      <c r="FG144" s="5">
        <f>HLOOKUP(FG$1,'Timing calculations'!$EY$5:$IW$40,24,FALSE)</f>
        <v>3.2032116788321144E-2</v>
      </c>
      <c r="FH144" s="5">
        <f>HLOOKUP(FH$1,'Timing calculations'!$EY$5:$IW$40,24,FALSE)</f>
        <v>7.1549999999999989E-2</v>
      </c>
      <c r="FI144" s="5">
        <f>HLOOKUP(FI$1,'Timing calculations'!$EY$5:$IW$40,24,FALSE)</f>
        <v>1.2842307692307715E-2</v>
      </c>
      <c r="FJ144" s="5">
        <f>HLOOKUP(FJ$1,'Timing calculations'!$EY$5:$IW$40,24,FALSE)</f>
        <v>4.2400000000000033E-3</v>
      </c>
      <c r="FK144" s="5">
        <f>HLOOKUP(FK$1,'Timing calculations'!$EY$5:$IW$40,24,FALSE)</f>
        <v>1.8316799999999956E-2</v>
      </c>
      <c r="FL144" s="64">
        <f t="shared" si="205"/>
        <v>0.44000000000000017</v>
      </c>
      <c r="FM144" s="280">
        <f t="shared" si="207"/>
        <v>0.30999999999999994</v>
      </c>
    </row>
    <row r="145" spans="154:169">
      <c r="EX145" s="89">
        <v>2039</v>
      </c>
      <c r="EY145" s="5">
        <f t="shared" si="204"/>
        <v>1.0133333333333332</v>
      </c>
      <c r="EZ145" s="5">
        <f>HLOOKUP(EZ$1,'Timing calculations'!$EY$5:$IW$40,25,FALSE)</f>
        <v>0</v>
      </c>
      <c r="FA145" s="5">
        <f>HLOOKUP(FA$1,'Timing calculations'!$EY$5:$IW$40,25,FALSE)</f>
        <v>0.26197254727221742</v>
      </c>
      <c r="FB145" s="5">
        <f>HLOOKUP(FB$1,'Timing calculations'!$EY$5:$IW$40,25,FALSE)</f>
        <v>0.05</v>
      </c>
      <c r="FC145" s="5">
        <f>HLOOKUP(FC$1,'Timing calculations'!$EY$5:$IW$40,25,FALSE)</f>
        <v>0.25581862590639615</v>
      </c>
      <c r="FD145" s="5">
        <f>HLOOKUP(FD$1,'Timing calculations'!$EY$5:$IW$40,25,FALSE)</f>
        <v>2.1049746666666667E-2</v>
      </c>
      <c r="FE145" s="5">
        <f>HLOOKUP(FE$1,'Timing calculations'!$EY$5:$IW$40,25,FALSE)</f>
        <v>0.26078832116788325</v>
      </c>
      <c r="FF145" s="5">
        <f>HLOOKUP(FF$1,'Timing calculations'!$EY$5:$IW$40,25,FALSE)</f>
        <v>7.0293836171938379E-2</v>
      </c>
      <c r="FG145" s="5">
        <f>HLOOKUP(FG$1,'Timing calculations'!$EY$5:$IW$40,25,FALSE)</f>
        <v>3.3918004866180025E-2</v>
      </c>
      <c r="FH145" s="5">
        <f>HLOOKUP(FH$1,'Timing calculations'!$EY$5:$IW$40,25,FALSE)</f>
        <v>7.1775000000000005E-2</v>
      </c>
      <c r="FI145" s="5">
        <f>HLOOKUP(FI$1,'Timing calculations'!$EY$5:$IW$40,25,FALSE)</f>
        <v>1.3802884615384566E-2</v>
      </c>
      <c r="FJ145" s="5">
        <f>HLOOKUP(FJ$1,'Timing calculations'!$EY$5:$IW$40,25,FALSE)</f>
        <v>4.519166666666641E-3</v>
      </c>
      <c r="FK145" s="5">
        <f>HLOOKUP(FK$1,'Timing calculations'!$EY$5:$IW$40,25,FALSE)</f>
        <v>1.9395200000000036E-2</v>
      </c>
      <c r="FL145" s="64">
        <f t="shared" si="205"/>
        <v>0.41166666666666685</v>
      </c>
      <c r="FM145" s="280">
        <f t="shared" si="207"/>
        <v>0.29249999999999998</v>
      </c>
    </row>
    <row r="146" spans="154:169">
      <c r="EX146" s="89">
        <v>2040</v>
      </c>
      <c r="EY146" s="5">
        <f t="shared" si="204"/>
        <v>1.0166666666666666</v>
      </c>
      <c r="EZ146" s="5">
        <f>HLOOKUP(EZ$1,'Timing calculations'!$EY$5:$IW$40,26,FALSE)</f>
        <v>0</v>
      </c>
      <c r="FA146" s="5">
        <f>HLOOKUP(FA$1,'Timing calculations'!$EY$5:$IW$40,26,FALSE)</f>
        <v>0.2388267349001536</v>
      </c>
      <c r="FB146" s="5">
        <f>HLOOKUP(FB$1,'Timing calculations'!$EY$5:$IW$40,26,FALSE)</f>
        <v>0.05</v>
      </c>
      <c r="FC146" s="5">
        <f>HLOOKUP(FC$1,'Timing calculations'!$EY$5:$IW$40,26,FALSE)</f>
        <v>0.27710976890434785</v>
      </c>
      <c r="FD146" s="5">
        <f>HLOOKUP(FD$1,'Timing calculations'!$EY$5:$IW$40,26,FALSE)</f>
        <v>1.7034541176470564E-2</v>
      </c>
      <c r="FE146" s="5">
        <f>HLOOKUP(FE$1,'Timing calculations'!$EY$5:$IW$40,26,FALSE)</f>
        <v>0.26160583941605842</v>
      </c>
      <c r="FF146" s="5">
        <f>HLOOKUP(FF$1,'Timing calculations'!$EY$5:$IW$40,26,FALSE)</f>
        <v>7.4225466342254742E-2</v>
      </c>
      <c r="FG146" s="5">
        <f>HLOOKUP(FG$1,'Timing calculations'!$EY$5:$IW$40,26,FALSE)</f>
        <v>3.5815085158150829E-2</v>
      </c>
      <c r="FH146" s="5">
        <f>HLOOKUP(FH$1,'Timing calculations'!$EY$5:$IW$40,26,FALSE)</f>
        <v>7.2000000000000008E-2</v>
      </c>
      <c r="FI146" s="5">
        <f>HLOOKUP(FI$1,'Timing calculations'!$EY$5:$IW$40,26,FALSE)</f>
        <v>1.4769230769230764E-2</v>
      </c>
      <c r="FJ146" s="5">
        <f>HLOOKUP(FJ$1,'Timing calculations'!$EY$5:$IW$40,26,FALSE)</f>
        <v>4.7999999999999449E-3</v>
      </c>
      <c r="FK146" s="5">
        <f>HLOOKUP(FK$1,'Timing calculations'!$EY$5:$IW$40,26,FALSE)</f>
        <v>2.0479999999999995E-2</v>
      </c>
      <c r="FL146" s="64">
        <f t="shared" si="205"/>
        <v>0.38333333333333353</v>
      </c>
      <c r="FM146" s="280">
        <f t="shared" si="207"/>
        <v>0.27500000000000002</v>
      </c>
    </row>
    <row r="147" spans="154:169">
      <c r="EX147" s="89">
        <v>2041</v>
      </c>
      <c r="EY147" s="5">
        <f t="shared" si="204"/>
        <v>1.02</v>
      </c>
      <c r="EZ147" s="5">
        <f>HLOOKUP(EZ$1,'Timing calculations'!$EY$5:$IW$40,27,FALSE)</f>
        <v>0</v>
      </c>
      <c r="FA147" s="5">
        <f>HLOOKUP(FA$1,'Timing calculations'!$EY$5:$IW$40,27,FALSE)</f>
        <v>0.22551071738236217</v>
      </c>
      <c r="FB147" s="5">
        <f>HLOOKUP(FB$1,'Timing calculations'!$EY$5:$IW$40,27,FALSE)</f>
        <v>0.05</v>
      </c>
      <c r="FC147" s="5">
        <f>HLOOKUP(FC$1,'Timing calculations'!$EY$5:$IW$40,27,FALSE)</f>
        <v>0.28338646916452181</v>
      </c>
      <c r="FD147" s="5">
        <f>HLOOKUP(FD$1,'Timing calculations'!$EY$5:$IW$40,27,FALSE)</f>
        <v>1.815576E-2</v>
      </c>
      <c r="FE147" s="5">
        <f>HLOOKUP(FE$1,'Timing calculations'!$EY$5:$IW$40,27,FALSE)</f>
        <v>0.26242335766423358</v>
      </c>
      <c r="FF147" s="5">
        <f>HLOOKUP(FF$1,'Timing calculations'!$EY$5:$IW$40,27,FALSE)</f>
        <v>7.8180291970802937E-2</v>
      </c>
      <c r="FG147" s="5">
        <f>HLOOKUP(FG$1,'Timing calculations'!$EY$5:$IW$40,27,FALSE)</f>
        <v>3.7723357664233556E-2</v>
      </c>
      <c r="FH147" s="5">
        <f>HLOOKUP(FH$1,'Timing calculations'!$EY$5:$IW$40,27,FALSE)</f>
        <v>7.2225000000000011E-2</v>
      </c>
      <c r="FI147" s="5">
        <f>HLOOKUP(FI$1,'Timing calculations'!$EY$5:$IW$40,27,FALSE)</f>
        <v>1.5741346153846193E-2</v>
      </c>
      <c r="FJ147" s="5">
        <f>HLOOKUP(FJ$1,'Timing calculations'!$EY$5:$IW$40,27,FALSE)</f>
        <v>5.0825000000000349E-3</v>
      </c>
      <c r="FK147" s="5">
        <f>HLOOKUP(FK$1,'Timing calculations'!$EY$5:$IW$40,27,FALSE)</f>
        <v>2.1571199999999954E-2</v>
      </c>
      <c r="FL147" s="64">
        <f t="shared" si="205"/>
        <v>0.3550000000000002</v>
      </c>
      <c r="FM147" s="280">
        <f t="shared" si="207"/>
        <v>0.25750000000000006</v>
      </c>
    </row>
    <row r="148" spans="154:169">
      <c r="EX148" s="89">
        <v>2042</v>
      </c>
      <c r="EY148" s="5">
        <f t="shared" si="204"/>
        <v>1.0233333333333332</v>
      </c>
      <c r="EZ148" s="5">
        <f>HLOOKUP(EZ$1,'Timing calculations'!$EY$5:$IW$40,28,FALSE)</f>
        <v>0</v>
      </c>
      <c r="FA148" s="5">
        <f>HLOOKUP(FA$1,'Timing calculations'!$EY$5:$IW$40,28,FALSE)</f>
        <v>0.21317742339101553</v>
      </c>
      <c r="FB148" s="5">
        <f>HLOOKUP(FB$1,'Timing calculations'!$EY$5:$IW$40,28,FALSE)</f>
        <v>0.05</v>
      </c>
      <c r="FC148" s="5">
        <f>HLOOKUP(FC$1,'Timing calculations'!$EY$5:$IW$40,28,FALSE)</f>
        <v>0.2896968811520001</v>
      </c>
      <c r="FD148" s="5">
        <f>HLOOKUP(FD$1,'Timing calculations'!$EY$5:$IW$40,28,FALSE)</f>
        <v>1.8212320000000004E-2</v>
      </c>
      <c r="FE148" s="5">
        <f>HLOOKUP(FE$1,'Timing calculations'!$EY$5:$IW$40,28,FALSE)</f>
        <v>0.2632408759124088</v>
      </c>
      <c r="FF148" s="5">
        <f>HLOOKUP(FF$1,'Timing calculations'!$EY$5:$IW$40,28,FALSE)</f>
        <v>8.2158313057583199E-2</v>
      </c>
      <c r="FG148" s="5">
        <f>HLOOKUP(FG$1,'Timing calculations'!$EY$5:$IW$40,28,FALSE)</f>
        <v>3.9642822384428206E-2</v>
      </c>
      <c r="FH148" s="5">
        <f>HLOOKUP(FH$1,'Timing calculations'!$EY$5:$IW$40,28,FALSE)</f>
        <v>7.2450000000000014E-2</v>
      </c>
      <c r="FI148" s="5">
        <f>HLOOKUP(FI$1,'Timing calculations'!$EY$5:$IW$40,28,FALSE)</f>
        <v>1.6719230769230736E-2</v>
      </c>
      <c r="FJ148" s="5">
        <f>HLOOKUP(FJ$1,'Timing calculations'!$EY$5:$IW$40,28,FALSE)</f>
        <v>5.3666666666666724E-3</v>
      </c>
      <c r="FK148" s="5">
        <f>HLOOKUP(FK$1,'Timing calculations'!$EY$5:$IW$40,28,FALSE)</f>
        <v>2.2668800000000034E-2</v>
      </c>
      <c r="FL148" s="64">
        <f t="shared" si="205"/>
        <v>0.32666666666666688</v>
      </c>
      <c r="FM148" s="280">
        <f t="shared" si="207"/>
        <v>0.24000000000000007</v>
      </c>
    </row>
    <row r="149" spans="154:169">
      <c r="EX149" s="89">
        <v>2043</v>
      </c>
      <c r="EY149" s="5">
        <f t="shared" si="204"/>
        <v>1.0266666666666666</v>
      </c>
      <c r="EZ149" s="5">
        <f>HLOOKUP(EZ$1,'Timing calculations'!$EY$5:$IW$40,29,FALSE)</f>
        <v>0</v>
      </c>
      <c r="FA149" s="5">
        <f>HLOOKUP(FA$1,'Timing calculations'!$EY$5:$IW$40,29,FALSE)</f>
        <v>0.20076219410258545</v>
      </c>
      <c r="FB149" s="5">
        <f>HLOOKUP(FB$1,'Timing calculations'!$EY$5:$IW$40,29,FALSE)</f>
        <v>0.05</v>
      </c>
      <c r="FC149" s="5">
        <f>HLOOKUP(FC$1,'Timing calculations'!$EY$5:$IW$40,29,FALSE)</f>
        <v>0.29604100486678259</v>
      </c>
      <c r="FD149" s="5">
        <f>HLOOKUP(FD$1,'Timing calculations'!$EY$5:$IW$40,29,FALSE)</f>
        <v>1.8268879999999998E-2</v>
      </c>
      <c r="FE149" s="5">
        <f>HLOOKUP(FE$1,'Timing calculations'!$EY$5:$IW$40,29,FALSE)</f>
        <v>0.26405839416058391</v>
      </c>
      <c r="FF149" s="5">
        <f>HLOOKUP(FF$1,'Timing calculations'!$EY$5:$IW$40,29,FALSE)</f>
        <v>8.6159529602595264E-2</v>
      </c>
      <c r="FG149" s="5">
        <f>HLOOKUP(FG$1,'Timing calculations'!$EY$5:$IW$40,29,FALSE)</f>
        <v>4.1573479318734764E-2</v>
      </c>
      <c r="FH149" s="5">
        <f>HLOOKUP(FH$1,'Timing calculations'!$EY$5:$IW$40,29,FALSE)</f>
        <v>7.267499999999999E-2</v>
      </c>
      <c r="FI149" s="5">
        <f>HLOOKUP(FI$1,'Timing calculations'!$EY$5:$IW$40,29,FALSE)</f>
        <v>1.770288461538462E-2</v>
      </c>
      <c r="FJ149" s="5">
        <f>HLOOKUP(FJ$1,'Timing calculations'!$EY$5:$IW$40,29,FALSE)</f>
        <v>5.6524999999999735E-3</v>
      </c>
      <c r="FK149" s="5">
        <f>HLOOKUP(FK$1,'Timing calculations'!$EY$5:$IW$40,29,FALSE)</f>
        <v>2.3772799999999983E-2</v>
      </c>
      <c r="FL149" s="64">
        <f t="shared" si="205"/>
        <v>0.29833333333333356</v>
      </c>
      <c r="FM149" s="280">
        <f t="shared" si="207"/>
        <v>0.22250000000000009</v>
      </c>
    </row>
    <row r="150" spans="154:169">
      <c r="EX150" s="89">
        <v>2044</v>
      </c>
      <c r="EY150" s="5">
        <f t="shared" si="204"/>
        <v>1.03</v>
      </c>
      <c r="EZ150" s="5">
        <f>HLOOKUP(EZ$1,'Timing calculations'!$EY$5:$IW$40,30,FALSE)</f>
        <v>0</v>
      </c>
      <c r="FA150" s="5">
        <f>HLOOKUP(FA$1,'Timing calculations'!$EY$5:$IW$40,30,FALSE)</f>
        <v>0.18826502951707069</v>
      </c>
      <c r="FB150" s="5">
        <f>HLOOKUP(FB$1,'Timing calculations'!$EY$5:$IW$40,30,FALSE)</f>
        <v>0.05</v>
      </c>
      <c r="FC150" s="5">
        <f>HLOOKUP(FC$1,'Timing calculations'!$EY$5:$IW$40,30,FALSE)</f>
        <v>0.30241884030886967</v>
      </c>
      <c r="FD150" s="5">
        <f>HLOOKUP(FD$1,'Timing calculations'!$EY$5:$IW$40,30,FALSE)</f>
        <v>1.8325440000000005E-2</v>
      </c>
      <c r="FE150" s="5">
        <f>HLOOKUP(FE$1,'Timing calculations'!$EY$5:$IW$40,30,FALSE)</f>
        <v>0.26487591240875918</v>
      </c>
      <c r="FF150" s="5">
        <f>HLOOKUP(FF$1,'Timing calculations'!$EY$5:$IW$40,30,FALSE)</f>
        <v>9.0183941605839479E-2</v>
      </c>
      <c r="FG150" s="5">
        <f>HLOOKUP(FG$1,'Timing calculations'!$EY$5:$IW$40,30,FALSE)</f>
        <v>4.3515328467153273E-2</v>
      </c>
      <c r="FH150" s="5">
        <f>HLOOKUP(FH$1,'Timing calculations'!$EY$5:$IW$40,30,FALSE)</f>
        <v>7.290000000000002E-2</v>
      </c>
      <c r="FI150" s="5">
        <f>HLOOKUP(FI$1,'Timing calculations'!$EY$5:$IW$40,30,FALSE)</f>
        <v>1.8692307692307751E-2</v>
      </c>
      <c r="FJ150" s="5">
        <f>HLOOKUP(FJ$1,'Timing calculations'!$EY$5:$IW$40,30,FALSE)</f>
        <v>5.9399999999999471E-3</v>
      </c>
      <c r="FK150" s="5">
        <f>HLOOKUP(FK$1,'Timing calculations'!$EY$5:$IW$40,30,FALSE)</f>
        <v>2.4883199999999953E-2</v>
      </c>
      <c r="FL150" s="64">
        <f t="shared" si="205"/>
        <v>0.27000000000000024</v>
      </c>
      <c r="FM150" s="280">
        <f t="shared" si="207"/>
        <v>0.2050000000000001</v>
      </c>
    </row>
    <row r="151" spans="154:169">
      <c r="EX151" s="89">
        <v>2045</v>
      </c>
      <c r="EY151" s="5">
        <f t="shared" si="204"/>
        <v>1.0333333333333332</v>
      </c>
      <c r="EZ151" s="5">
        <f>HLOOKUP(EZ$1,'Timing calculations'!$EY$5:$IW$40,31,FALSE)</f>
        <v>0</v>
      </c>
      <c r="FA151" s="5">
        <f>HLOOKUP(FA$1,'Timing calculations'!$EY$5:$IW$40,31,FALSE)</f>
        <v>0.17568592963447205</v>
      </c>
      <c r="FB151" s="5">
        <f>HLOOKUP(FB$1,'Timing calculations'!$EY$5:$IW$40,31,FALSE)</f>
        <v>0.05</v>
      </c>
      <c r="FC151" s="5">
        <f>HLOOKUP(FC$1,'Timing calculations'!$EY$5:$IW$40,31,FALSE)</f>
        <v>0.30883038747826091</v>
      </c>
      <c r="FD151" s="5">
        <f>HLOOKUP(FD$1,'Timing calculations'!$EY$5:$IW$40,31,FALSE)</f>
        <v>1.8381999999999999E-2</v>
      </c>
      <c r="FE151" s="5">
        <f>HLOOKUP(FE$1,'Timing calculations'!$EY$5:$IW$40,31,FALSE)</f>
        <v>0.26569343065693429</v>
      </c>
      <c r="FF151" s="5">
        <f>HLOOKUP(FF$1,'Timing calculations'!$EY$5:$IW$40,31,FALSE)</f>
        <v>9.4231549067315581E-2</v>
      </c>
      <c r="FG151" s="5">
        <f>HLOOKUP(FG$1,'Timing calculations'!$EY$5:$IW$40,31,FALSE)</f>
        <v>4.5468369829683671E-2</v>
      </c>
      <c r="FH151" s="5">
        <f>HLOOKUP(FH$1,'Timing calculations'!$EY$5:$IW$40,31,FALSE)</f>
        <v>7.3124999999999996E-2</v>
      </c>
      <c r="FI151" s="5">
        <f>HLOOKUP(FI$1,'Timing calculations'!$EY$5:$IW$40,31,FALSE)</f>
        <v>1.9687499999999976E-2</v>
      </c>
      <c r="FJ151" s="5">
        <f>HLOOKUP(FJ$1,'Timing calculations'!$EY$5:$IW$40,31,FALSE)</f>
        <v>6.2291666666667023E-3</v>
      </c>
      <c r="FK151" s="5">
        <f>HLOOKUP(FK$1,'Timing calculations'!$EY$5:$IW$40,31,FALSE)</f>
        <v>2.600000000000002E-2</v>
      </c>
      <c r="FL151" s="64">
        <f t="shared" si="205"/>
        <v>0.24166666666666692</v>
      </c>
      <c r="FM151" s="280">
        <f t="shared" si="207"/>
        <v>0.18750000000000011</v>
      </c>
    </row>
    <row r="152" spans="154:169">
      <c r="EX152" s="89">
        <v>2046</v>
      </c>
      <c r="EY152" s="5">
        <f t="shared" si="204"/>
        <v>1.0366666666666666</v>
      </c>
      <c r="EZ152" s="5">
        <f>HLOOKUP(EZ$1,'Timing calculations'!$EY$5:$IW$40,32,FALSE)</f>
        <v>0</v>
      </c>
      <c r="FA152" s="5">
        <f>HLOOKUP(FA$1,'Timing calculations'!$EY$5:$IW$40,32,FALSE)</f>
        <v>0.16302489445478929</v>
      </c>
      <c r="FB152" s="5">
        <f>HLOOKUP(FB$1,'Timing calculations'!$EY$5:$IW$40,32,FALSE)</f>
        <v>0.05</v>
      </c>
      <c r="FC152" s="5">
        <f>HLOOKUP(FC$1,'Timing calculations'!$EY$5:$IW$40,32,FALSE)</f>
        <v>0.31527564637495659</v>
      </c>
      <c r="FD152" s="5">
        <f>HLOOKUP(FD$1,'Timing calculations'!$EY$5:$IW$40,32,FALSE)</f>
        <v>1.843856E-2</v>
      </c>
      <c r="FE152" s="5">
        <f>HLOOKUP(FE$1,'Timing calculations'!$EY$5:$IW$40,32,FALSE)</f>
        <v>0.26651094890510951</v>
      </c>
      <c r="FF152" s="5">
        <f>HLOOKUP(FF$1,'Timing calculations'!$EY$5:$IW$40,32,FALSE)</f>
        <v>9.8302351987023542E-2</v>
      </c>
      <c r="FG152" s="5">
        <f>HLOOKUP(FG$1,'Timing calculations'!$EY$5:$IW$40,32,FALSE)</f>
        <v>4.7432603406326004E-2</v>
      </c>
      <c r="FH152" s="5">
        <f>HLOOKUP(FH$1,'Timing calculations'!$EY$5:$IW$40,32,FALSE)</f>
        <v>7.3349999999999999E-2</v>
      </c>
      <c r="FI152" s="5">
        <f>HLOOKUP(FI$1,'Timing calculations'!$EY$5:$IW$40,32,FALSE)</f>
        <v>2.0688461538461562E-2</v>
      </c>
      <c r="FJ152" s="5">
        <f>HLOOKUP(FJ$1,'Timing calculations'!$EY$5:$IW$40,32,FALSE)</f>
        <v>6.5200000000000058E-3</v>
      </c>
      <c r="FK152" s="5">
        <f>HLOOKUP(FK$1,'Timing calculations'!$EY$5:$IW$40,32,FALSE)</f>
        <v>2.7123199999999979E-2</v>
      </c>
      <c r="FL152" s="64">
        <f t="shared" si="205"/>
        <v>0.2133333333333336</v>
      </c>
      <c r="FM152" s="280">
        <f t="shared" si="207"/>
        <v>0.17000000000000012</v>
      </c>
    </row>
    <row r="153" spans="154:169">
      <c r="EX153" s="89">
        <v>2047</v>
      </c>
      <c r="EY153" s="5">
        <f t="shared" si="204"/>
        <v>1.04</v>
      </c>
      <c r="EZ153" s="5">
        <f>HLOOKUP(EZ$1,'Timing calculations'!$EY$5:$IW$40,33,FALSE)</f>
        <v>0</v>
      </c>
      <c r="FA153" s="5">
        <f>HLOOKUP(FA$1,'Timing calculations'!$EY$5:$IW$40,33,FALSE)</f>
        <v>0.15028192397802254</v>
      </c>
      <c r="FB153" s="5">
        <f>HLOOKUP(FB$1,'Timing calculations'!$EY$5:$IW$40,33,FALSE)</f>
        <v>0.05</v>
      </c>
      <c r="FC153" s="5">
        <f>HLOOKUP(FC$1,'Timing calculations'!$EY$5:$IW$40,33,FALSE)</f>
        <v>0.32175461699895658</v>
      </c>
      <c r="FD153" s="5">
        <f>HLOOKUP(FD$1,'Timing calculations'!$EY$5:$IW$40,33,FALSE)</f>
        <v>1.849512E-2</v>
      </c>
      <c r="FE153" s="5">
        <f>HLOOKUP(FE$1,'Timing calculations'!$EY$5:$IW$40,33,FALSE)</f>
        <v>0.26732846715328468</v>
      </c>
      <c r="FF153" s="5">
        <f>HLOOKUP(FF$1,'Timing calculations'!$EY$5:$IW$40,33,FALSE)</f>
        <v>0.10239635036496358</v>
      </c>
      <c r="FG153" s="5">
        <f>HLOOKUP(FG$1,'Timing calculations'!$EY$5:$IW$40,33,FALSE)</f>
        <v>4.9408029197080268E-2</v>
      </c>
      <c r="FH153" s="5">
        <f>HLOOKUP(FH$1,'Timing calculations'!$EY$5:$IW$40,33,FALSE)</f>
        <v>7.3575000000000015E-2</v>
      </c>
      <c r="FI153" s="5">
        <f>HLOOKUP(FI$1,'Timing calculations'!$EY$5:$IW$40,33,FALSE)</f>
        <v>2.1695192307692256E-2</v>
      </c>
      <c r="FJ153" s="5">
        <f>HLOOKUP(FJ$1,'Timing calculations'!$EY$5:$IW$40,33,FALSE)</f>
        <v>6.8124999999999766E-3</v>
      </c>
      <c r="FK153" s="5">
        <f>HLOOKUP(FK$1,'Timing calculations'!$EY$5:$IW$40,33,FALSE)</f>
        <v>2.8252799999999939E-2</v>
      </c>
      <c r="FL153" s="64">
        <f t="shared" si="205"/>
        <v>0.18500000000000028</v>
      </c>
      <c r="FM153" s="280">
        <f t="shared" si="207"/>
        <v>0.15250000000000014</v>
      </c>
    </row>
    <row r="154" spans="154:169">
      <c r="EX154" s="89">
        <v>2048</v>
      </c>
      <c r="EY154" s="5">
        <f t="shared" si="204"/>
        <v>1.0433333333333332</v>
      </c>
      <c r="EZ154" s="5">
        <f>HLOOKUP(EZ$1,'Timing calculations'!$EY$5:$IW$40,34,FALSE)</f>
        <v>0</v>
      </c>
      <c r="FA154" s="5">
        <f>HLOOKUP(FA$1,'Timing calculations'!$EY$5:$IW$40,34,FALSE)</f>
        <v>0.13745701820417189</v>
      </c>
      <c r="FB154" s="5">
        <f>HLOOKUP(FB$1,'Timing calculations'!$EY$5:$IW$40,34,FALSE)</f>
        <v>0.05</v>
      </c>
      <c r="FC154" s="5">
        <f>HLOOKUP(FC$1,'Timing calculations'!$EY$5:$IW$40,34,FALSE)</f>
        <v>0.32826729935026083</v>
      </c>
      <c r="FD154" s="5">
        <f>HLOOKUP(FD$1,'Timing calculations'!$EY$5:$IW$40,34,FALSE)</f>
        <v>1.8551679999999994E-2</v>
      </c>
      <c r="FE154" s="5">
        <f>HLOOKUP(FE$1,'Timing calculations'!$EY$5:$IW$40,34,FALSE)</f>
        <v>0.26814598540145979</v>
      </c>
      <c r="FF154" s="5">
        <f>HLOOKUP(FF$1,'Timing calculations'!$EY$5:$IW$40,34,FALSE)</f>
        <v>0.10651354420113543</v>
      </c>
      <c r="FG154" s="5">
        <f>HLOOKUP(FG$1,'Timing calculations'!$EY$5:$IW$40,34,FALSE)</f>
        <v>5.1394647201946426E-2</v>
      </c>
      <c r="FH154" s="5">
        <f>HLOOKUP(FH$1,'Timing calculations'!$EY$5:$IW$40,34,FALSE)</f>
        <v>7.3799999999999991E-2</v>
      </c>
      <c r="FI154" s="5">
        <f>HLOOKUP(FI$1,'Timing calculations'!$EY$5:$IW$40,34,FALSE)</f>
        <v>2.2707692307692293E-2</v>
      </c>
      <c r="FJ154" s="5">
        <f>HLOOKUP(FJ$1,'Timing calculations'!$EY$5:$IW$40,34,FALSE)</f>
        <v>7.1066666666666101E-3</v>
      </c>
      <c r="FK154" s="5">
        <f>HLOOKUP(FK$1,'Timing calculations'!$EY$5:$IW$40,34,FALSE)</f>
        <v>2.938880000000001E-2</v>
      </c>
      <c r="FL154" s="64">
        <f t="shared" si="205"/>
        <v>0.15666666666666695</v>
      </c>
      <c r="FM154" s="280">
        <f t="shared" si="207"/>
        <v>0.13500000000000015</v>
      </c>
    </row>
    <row r="155" spans="154:169">
      <c r="EX155" s="89">
        <v>2049</v>
      </c>
      <c r="EY155" s="5">
        <f t="shared" si="204"/>
        <v>1.0466666666666666</v>
      </c>
      <c r="EZ155" s="5">
        <f>HLOOKUP(EZ$1,'Timing calculations'!$EY$5:$IW$40,35,FALSE)</f>
        <v>0</v>
      </c>
      <c r="FA155" s="5">
        <f>HLOOKUP(FA$1,'Timing calculations'!$EY$5:$IW$40,35,FALSE)</f>
        <v>0.12455017713323613</v>
      </c>
      <c r="FB155" s="5">
        <f>HLOOKUP(FB$1,'Timing calculations'!$EY$5:$IW$40,35,FALSE)</f>
        <v>0.05</v>
      </c>
      <c r="FC155" s="5">
        <f>HLOOKUP(FC$1,'Timing calculations'!$EY$5:$IW$40,35,FALSE)</f>
        <v>0.33481369342886969</v>
      </c>
      <c r="FD155" s="5">
        <f>HLOOKUP(FD$1,'Timing calculations'!$EY$5:$IW$40,35,FALSE)</f>
        <v>1.8608240000000005E-2</v>
      </c>
      <c r="FE155" s="5">
        <f>HLOOKUP(FE$1,'Timing calculations'!$EY$5:$IW$40,35,FALSE)</f>
        <v>0.26896350364963512</v>
      </c>
      <c r="FF155" s="5">
        <f>HLOOKUP(FF$1,'Timing calculations'!$EY$5:$IW$40,35,FALSE)</f>
        <v>0.11065393349553942</v>
      </c>
      <c r="FG155" s="5">
        <f>HLOOKUP(FG$1,'Timing calculations'!$EY$5:$IW$40,35,FALSE)</f>
        <v>5.3392457420924556E-2</v>
      </c>
      <c r="FH155" s="5">
        <f>HLOOKUP(FH$1,'Timing calculations'!$EY$5:$IW$40,35,FALSE)</f>
        <v>7.4025000000000021E-2</v>
      </c>
      <c r="FI155" s="5">
        <f>HLOOKUP(FI$1,'Timing calculations'!$EY$5:$IW$40,35,FALSE)</f>
        <v>2.3725961538461581E-2</v>
      </c>
      <c r="FJ155" s="5">
        <f>HLOOKUP(FJ$1,'Timing calculations'!$EY$5:$IW$40,35,FALSE)</f>
        <v>7.4025000000000384E-3</v>
      </c>
      <c r="FK155" s="5">
        <f>HLOOKUP(FK$1,'Timing calculations'!$EY$5:$IW$40,35,FALSE)</f>
        <v>3.0531199999999981E-2</v>
      </c>
      <c r="FL155" s="64">
        <f t="shared" si="205"/>
        <v>0.12833333333333363</v>
      </c>
      <c r="FM155" s="280">
        <f t="shared" si="207"/>
        <v>0.11750000000000016</v>
      </c>
    </row>
    <row r="156" spans="154:169" ht="15" thickBot="1">
      <c r="EX156" s="86">
        <v>2050</v>
      </c>
      <c r="EY156" s="111">
        <f t="shared" si="204"/>
        <v>1.05</v>
      </c>
      <c r="EZ156" s="111">
        <f>HLOOKUP(EZ$1,'Timing calculations'!$EY$5:$IW$40,36,FALSE)</f>
        <v>0</v>
      </c>
      <c r="FA156" s="111">
        <f>HLOOKUP(FA$1,'Timing calculations'!$EY$5:$IW$40,36,FALSE)</f>
        <v>0.11156140076521748</v>
      </c>
      <c r="FB156" s="111">
        <f>HLOOKUP(FB$1,'Timing calculations'!$EY$5:$IW$40,36,FALSE)</f>
        <v>0.05</v>
      </c>
      <c r="FC156" s="111">
        <f>HLOOKUP(FC$1,'Timing calculations'!$EY$5:$IW$40,36,FALSE)</f>
        <v>0.34139379923478264</v>
      </c>
      <c r="FD156" s="111">
        <f>HLOOKUP(FD$1,'Timing calculations'!$EY$5:$IW$40,36,FALSE)</f>
        <v>1.8664799999999999E-2</v>
      </c>
      <c r="FE156" s="111">
        <f>HLOOKUP(FE$1,'Timing calculations'!$EY$5:$IW$40,36,FALSE)</f>
        <v>0.26978102189781017</v>
      </c>
      <c r="FF156" s="111">
        <f>HLOOKUP(FF$1,'Timing calculations'!$EY$5:$IW$40,36,FALSE)</f>
        <v>0.11481751824817528</v>
      </c>
      <c r="FG156" s="111">
        <f>HLOOKUP(FG$1,'Timing calculations'!$EY$5:$IW$40,36,FALSE)</f>
        <v>5.5401459854014561E-2</v>
      </c>
      <c r="FH156" s="111">
        <f>HLOOKUP(FH$1,'Timing calculations'!$EY$5:$IW$40,36,FALSE)</f>
        <v>7.4249999999999997E-2</v>
      </c>
      <c r="FI156" s="111">
        <f>HLOOKUP(FI$1,'Timing calculations'!$EY$5:$IW$40,36,FALSE)</f>
        <v>2.474999999999996E-2</v>
      </c>
      <c r="FJ156" s="111">
        <f>HLOOKUP(FJ$1,'Timing calculations'!$EY$5:$IW$40,36,FALSE)</f>
        <v>7.7000000000000063E-3</v>
      </c>
      <c r="FK156" s="111">
        <f>HLOOKUP(FK$1,'Timing calculations'!$EY$5:$IW$40,36,FALSE)</f>
        <v>3.1679999999999923E-2</v>
      </c>
      <c r="FL156" s="171">
        <f t="shared" si="205"/>
        <v>0.1000000000000003</v>
      </c>
      <c r="FM156" s="348">
        <f t="shared" si="207"/>
        <v>0.10000000000000017</v>
      </c>
    </row>
    <row r="1048576" spans="258:258">
      <c r="IX1048576" s="3"/>
    </row>
  </sheetData>
  <mergeCells count="78">
    <mergeCell ref="A104:G104"/>
    <mergeCell ref="A109:G109"/>
    <mergeCell ref="A114:G114"/>
    <mergeCell ref="JD7:JD9"/>
    <mergeCell ref="A81:G81"/>
    <mergeCell ref="A86:G86"/>
    <mergeCell ref="A91:G91"/>
    <mergeCell ref="A99:G99"/>
    <mergeCell ref="A76:G76"/>
    <mergeCell ref="A49:F49"/>
    <mergeCell ref="A52:F52"/>
    <mergeCell ref="H56:J56"/>
    <mergeCell ref="O56:Q56"/>
    <mergeCell ref="H66:J66"/>
    <mergeCell ref="O66:Q66"/>
    <mergeCell ref="A37:F37"/>
    <mergeCell ref="A39:F39"/>
    <mergeCell ref="A43:F43"/>
    <mergeCell ref="A46:F46"/>
    <mergeCell ref="H46:J46"/>
    <mergeCell ref="O46:Q46"/>
    <mergeCell ref="H36:J36"/>
    <mergeCell ref="O36:Q36"/>
    <mergeCell ref="A14:F14"/>
    <mergeCell ref="H14:J14"/>
    <mergeCell ref="A15:F15"/>
    <mergeCell ref="A18:F18"/>
    <mergeCell ref="A21:F21"/>
    <mergeCell ref="A24:F24"/>
    <mergeCell ref="H28:J28"/>
    <mergeCell ref="A29:F29"/>
    <mergeCell ref="H29:J29"/>
    <mergeCell ref="G35:J35"/>
    <mergeCell ref="M35:Q35"/>
    <mergeCell ref="A5:F5"/>
    <mergeCell ref="CB6:CJ9"/>
    <mergeCell ref="IY6:JT6"/>
    <mergeCell ref="A7:F7"/>
    <mergeCell ref="JA7:JA9"/>
    <mergeCell ref="JC7:JC9"/>
    <mergeCell ref="JE7:JF9"/>
    <mergeCell ref="CL9:CQ9"/>
    <mergeCell ref="CR9:CT9"/>
    <mergeCell ref="CU9:DG9"/>
    <mergeCell ref="IJ3:IW4"/>
    <mergeCell ref="BU2:BU3"/>
    <mergeCell ref="BV2:BV3"/>
    <mergeCell ref="BW2:BW3"/>
    <mergeCell ref="BX2:BX3"/>
    <mergeCell ref="BY2:BY3"/>
    <mergeCell ref="EX3:FK4"/>
    <mergeCell ref="FM3:FZ4"/>
    <mergeCell ref="GB3:GO4"/>
    <mergeCell ref="GQ3:HD4"/>
    <mergeCell ref="HF3:HS4"/>
    <mergeCell ref="HU3:IH4"/>
    <mergeCell ref="L1:AL1"/>
    <mergeCell ref="AO1:BW1"/>
    <mergeCell ref="A2:F2"/>
    <mergeCell ref="O2:R2"/>
    <mergeCell ref="S2:V2"/>
    <mergeCell ref="AO2:AS2"/>
    <mergeCell ref="AT2:AW2"/>
    <mergeCell ref="BA2:BA3"/>
    <mergeCell ref="BB2:BB3"/>
    <mergeCell ref="BC2:BC3"/>
    <mergeCell ref="BM2:BM3"/>
    <mergeCell ref="BN2:BN3"/>
    <mergeCell ref="BO2:BO3"/>
    <mergeCell ref="BQ2:BQ3"/>
    <mergeCell ref="BR2:BR3"/>
    <mergeCell ref="BS2:BS3"/>
    <mergeCell ref="BK2:BK3"/>
    <mergeCell ref="BE2:BE3"/>
    <mergeCell ref="BF2:BF3"/>
    <mergeCell ref="BG2:BG3"/>
    <mergeCell ref="BI2:BI3"/>
    <mergeCell ref="BJ2:BJ3"/>
  </mergeCells>
  <pageMargins left="0.7" right="0.7" top="0.75" bottom="0.75" header="0.3" footer="0.3"/>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I10"/>
  <sheetViews>
    <sheetView zoomScale="55" zoomScaleNormal="55" workbookViewId="0">
      <selection sqref="A1:A2"/>
    </sheetView>
  </sheetViews>
  <sheetFormatPr defaultRowHeight="14.5"/>
  <cols>
    <col min="1" max="1" width="23.90625" style="1" customWidth="1"/>
    <col min="2" max="2" width="48.453125" customWidth="1"/>
    <col min="3" max="3" width="32.90625" customWidth="1"/>
    <col min="4" max="4" width="40.1796875" customWidth="1"/>
    <col min="5" max="5" width="43" customWidth="1"/>
    <col min="6" max="6" width="48.1796875" customWidth="1"/>
    <col min="7" max="7" width="23.81640625" customWidth="1"/>
    <col min="8" max="8" width="17.36328125" customWidth="1"/>
    <col min="9" max="9" width="35.6328125" customWidth="1"/>
  </cols>
  <sheetData>
    <row r="1" spans="1:9" ht="21">
      <c r="A1" s="739" t="s">
        <v>383</v>
      </c>
      <c r="B1" s="734" t="s">
        <v>380</v>
      </c>
      <c r="C1" s="735"/>
      <c r="D1" s="735"/>
      <c r="E1" s="735"/>
      <c r="F1" s="459" t="s">
        <v>381</v>
      </c>
      <c r="G1" s="736" t="s">
        <v>382</v>
      </c>
      <c r="H1" s="737"/>
      <c r="I1" s="738"/>
    </row>
    <row r="2" spans="1:9" s="242" customFormat="1" ht="80" customHeight="1">
      <c r="A2" s="740"/>
      <c r="B2" s="442" t="s">
        <v>307</v>
      </c>
      <c r="C2" s="439" t="s">
        <v>308</v>
      </c>
      <c r="D2" s="439" t="s">
        <v>309</v>
      </c>
      <c r="E2" s="444" t="s">
        <v>345</v>
      </c>
      <c r="F2" s="460" t="s">
        <v>359</v>
      </c>
      <c r="G2" s="442" t="s">
        <v>320</v>
      </c>
      <c r="H2" s="439" t="s">
        <v>321</v>
      </c>
      <c r="I2" s="443" t="s">
        <v>322</v>
      </c>
    </row>
    <row r="3" spans="1:9" ht="161.5" customHeight="1">
      <c r="A3" s="440" t="s">
        <v>310</v>
      </c>
      <c r="B3" s="445" t="s">
        <v>324</v>
      </c>
      <c r="C3" s="446" t="s">
        <v>342</v>
      </c>
      <c r="D3" s="446" t="s">
        <v>341</v>
      </c>
      <c r="E3" s="447" t="s">
        <v>340</v>
      </c>
      <c r="F3" s="454" t="s">
        <v>360</v>
      </c>
      <c r="G3" s="461" t="s">
        <v>362</v>
      </c>
      <c r="H3" s="457" t="s">
        <v>361</v>
      </c>
      <c r="I3" s="462" t="s">
        <v>363</v>
      </c>
    </row>
    <row r="4" spans="1:9" ht="139.5" customHeight="1">
      <c r="A4" s="440" t="s">
        <v>323</v>
      </c>
      <c r="B4" s="445" t="s">
        <v>366</v>
      </c>
      <c r="C4" s="448" t="s">
        <v>367</v>
      </c>
      <c r="D4" s="448" t="s">
        <v>368</v>
      </c>
      <c r="E4" s="449" t="s">
        <v>369</v>
      </c>
      <c r="F4" s="455" t="s">
        <v>349</v>
      </c>
      <c r="G4" s="463" t="s">
        <v>370</v>
      </c>
      <c r="H4" s="458" t="s">
        <v>364</v>
      </c>
      <c r="I4" s="464" t="s">
        <v>365</v>
      </c>
    </row>
    <row r="5" spans="1:9" ht="119.5" customHeight="1">
      <c r="A5" s="440" t="s">
        <v>311</v>
      </c>
      <c r="B5" s="445" t="s">
        <v>325</v>
      </c>
      <c r="C5" s="448" t="s">
        <v>325</v>
      </c>
      <c r="D5" s="448" t="s">
        <v>334</v>
      </c>
      <c r="E5" s="449" t="s">
        <v>343</v>
      </c>
      <c r="F5" s="455" t="s">
        <v>350</v>
      </c>
      <c r="G5" s="461" t="s">
        <v>371</v>
      </c>
      <c r="H5" s="457" t="s">
        <v>371</v>
      </c>
      <c r="I5" s="462" t="s">
        <v>371</v>
      </c>
    </row>
    <row r="6" spans="1:9" ht="106" customHeight="1">
      <c r="A6" s="440" t="s">
        <v>312</v>
      </c>
      <c r="B6" s="445" t="s">
        <v>326</v>
      </c>
      <c r="C6" s="448" t="s">
        <v>329</v>
      </c>
      <c r="D6" s="448" t="s">
        <v>335</v>
      </c>
      <c r="E6" s="449" t="s">
        <v>344</v>
      </c>
      <c r="F6" s="455" t="s">
        <v>351</v>
      </c>
      <c r="G6" s="461" t="s">
        <v>372</v>
      </c>
      <c r="H6" s="457" t="s">
        <v>372</v>
      </c>
      <c r="I6" s="462" t="s">
        <v>373</v>
      </c>
    </row>
    <row r="7" spans="1:9" ht="158.5" customHeight="1">
      <c r="A7" s="440" t="s">
        <v>313</v>
      </c>
      <c r="B7" s="445" t="s">
        <v>352</v>
      </c>
      <c r="C7" s="448" t="s">
        <v>353</v>
      </c>
      <c r="D7" s="448" t="s">
        <v>336</v>
      </c>
      <c r="E7" s="449" t="s">
        <v>354</v>
      </c>
      <c r="F7" s="455" t="s">
        <v>355</v>
      </c>
      <c r="G7" s="461" t="s">
        <v>375</v>
      </c>
      <c r="H7" s="457" t="s">
        <v>375</v>
      </c>
      <c r="I7" s="462" t="s">
        <v>374</v>
      </c>
    </row>
    <row r="8" spans="1:9" ht="116" customHeight="1">
      <c r="A8" s="441" t="s">
        <v>314</v>
      </c>
      <c r="B8" s="445" t="s">
        <v>327</v>
      </c>
      <c r="C8" s="448" t="s">
        <v>330</v>
      </c>
      <c r="D8" s="448" t="s">
        <v>337</v>
      </c>
      <c r="E8" s="449" t="s">
        <v>346</v>
      </c>
      <c r="F8" s="455" t="s">
        <v>356</v>
      </c>
      <c r="G8" s="461" t="s">
        <v>375</v>
      </c>
      <c r="H8" s="457" t="s">
        <v>375</v>
      </c>
      <c r="I8" s="462" t="s">
        <v>375</v>
      </c>
    </row>
    <row r="9" spans="1:9" ht="123" customHeight="1">
      <c r="A9" s="440" t="s">
        <v>315</v>
      </c>
      <c r="B9" s="445" t="s">
        <v>328</v>
      </c>
      <c r="C9" s="448" t="s">
        <v>331</v>
      </c>
      <c r="D9" s="446" t="s">
        <v>338</v>
      </c>
      <c r="E9" s="449" t="s">
        <v>347</v>
      </c>
      <c r="F9" s="455" t="s">
        <v>357</v>
      </c>
      <c r="G9" s="461" t="s">
        <v>375</v>
      </c>
      <c r="H9" s="457" t="s">
        <v>375</v>
      </c>
      <c r="I9" s="462" t="s">
        <v>376</v>
      </c>
    </row>
    <row r="10" spans="1:9" ht="174" customHeight="1" thickBot="1">
      <c r="A10" s="440" t="s">
        <v>316</v>
      </c>
      <c r="B10" s="450" t="s">
        <v>332</v>
      </c>
      <c r="C10" s="451" t="s">
        <v>333</v>
      </c>
      <c r="D10" s="452" t="s">
        <v>339</v>
      </c>
      <c r="E10" s="453" t="s">
        <v>348</v>
      </c>
      <c r="F10" s="456" t="s">
        <v>358</v>
      </c>
      <c r="G10" s="465" t="s">
        <v>375</v>
      </c>
      <c r="H10" s="466" t="s">
        <v>375</v>
      </c>
      <c r="I10" s="467" t="s">
        <v>377</v>
      </c>
    </row>
  </sheetData>
  <mergeCells count="3">
    <mergeCell ref="B1:E1"/>
    <mergeCell ref="G1:I1"/>
    <mergeCell ref="A1:A2"/>
  </mergeCells>
  <dataValidations count="1">
    <dataValidation showInputMessage="1" sqref="A3:A10" xr:uid="{00000000-0002-0000-0A00-000000000000}"/>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1"/>
  <dimension ref="A1:AU57"/>
  <sheetViews>
    <sheetView showGridLines="0" zoomScale="55" zoomScaleNormal="55" workbookViewId="0">
      <selection activeCell="C7" sqref="C7"/>
    </sheetView>
  </sheetViews>
  <sheetFormatPr defaultRowHeight="14.5"/>
  <cols>
    <col min="1" max="1" width="21.6328125" customWidth="1"/>
    <col min="2" max="2" width="16.54296875" customWidth="1"/>
    <col min="3" max="3" width="10.08984375" customWidth="1"/>
    <col min="6" max="6" width="10.453125" customWidth="1"/>
    <col min="7" max="7" width="7.7265625" customWidth="1"/>
    <col min="8" max="8" width="7.81640625" customWidth="1"/>
    <col min="9" max="9" width="6.7265625" customWidth="1"/>
    <col min="10" max="10" width="11" customWidth="1"/>
    <col min="11" max="11" width="7.6328125" customWidth="1"/>
    <col min="12" max="16" width="6.6328125" customWidth="1"/>
    <col min="17" max="17" width="7.36328125" customWidth="1"/>
    <col min="18" max="26" width="6.6328125" customWidth="1"/>
  </cols>
  <sheetData>
    <row r="1" spans="1:47" ht="18.5">
      <c r="A1" s="237" t="s">
        <v>153</v>
      </c>
      <c r="G1" s="741"/>
      <c r="H1" s="741"/>
      <c r="I1" s="741"/>
      <c r="J1" s="741"/>
      <c r="K1" s="741"/>
      <c r="L1" s="741"/>
      <c r="M1" s="741"/>
      <c r="N1" s="741"/>
      <c r="O1" s="741"/>
      <c r="P1" s="741"/>
      <c r="Q1" s="741"/>
      <c r="R1" s="741"/>
      <c r="S1" s="741"/>
      <c r="T1" s="741"/>
      <c r="U1" s="741"/>
      <c r="V1" s="152"/>
      <c r="W1" s="152"/>
      <c r="X1" s="152"/>
      <c r="Y1" s="152"/>
      <c r="Z1" s="152"/>
      <c r="AC1" s="152"/>
      <c r="AD1" s="152"/>
      <c r="AE1" s="152"/>
      <c r="AF1" s="152"/>
      <c r="AG1" s="152"/>
      <c r="AH1" s="152"/>
      <c r="AI1" s="152"/>
      <c r="AJ1" s="152"/>
      <c r="AK1" s="152"/>
      <c r="AL1" s="152"/>
      <c r="AM1" s="152"/>
      <c r="AN1" s="152"/>
      <c r="AO1" s="152"/>
      <c r="AP1" s="152"/>
      <c r="AQ1" s="152"/>
      <c r="AR1" s="152"/>
      <c r="AS1" s="152"/>
      <c r="AT1" s="152"/>
      <c r="AU1" s="152"/>
    </row>
    <row r="2" spans="1:47" ht="15.5">
      <c r="R2" s="113"/>
      <c r="S2" s="104"/>
      <c r="T2" s="104"/>
      <c r="U2" s="104"/>
      <c r="V2" s="104"/>
      <c r="W2" s="104"/>
      <c r="X2" s="104"/>
      <c r="Y2" s="104"/>
      <c r="Z2" s="104"/>
      <c r="AN2" s="113"/>
      <c r="AO2" s="104"/>
      <c r="AP2" s="104"/>
      <c r="AQ2" s="104"/>
      <c r="AR2" s="104"/>
      <c r="AS2" s="104"/>
      <c r="AT2" s="104"/>
      <c r="AU2" s="104"/>
    </row>
    <row r="3" spans="1:47" ht="38.5" customHeight="1">
      <c r="B3" s="6"/>
      <c r="C3" s="118"/>
      <c r="D3" s="118"/>
      <c r="E3" s="118"/>
      <c r="G3" s="710"/>
      <c r="H3" s="710"/>
      <c r="I3" s="710"/>
      <c r="J3" s="6"/>
      <c r="K3" s="7"/>
      <c r="L3" s="7"/>
      <c r="M3" s="7"/>
      <c r="O3" s="7"/>
      <c r="P3" s="7"/>
      <c r="Q3" s="7"/>
      <c r="S3" s="7"/>
      <c r="T3" s="7"/>
      <c r="U3" s="7"/>
      <c r="W3" s="7"/>
      <c r="X3" s="7"/>
      <c r="Y3" s="7"/>
      <c r="AC3" s="6"/>
      <c r="AD3" s="6"/>
      <c r="AE3" s="6"/>
      <c r="AF3" s="6"/>
      <c r="AG3" s="7"/>
      <c r="AH3" s="7"/>
      <c r="AI3" s="7"/>
      <c r="AK3" s="7"/>
      <c r="AL3" s="7"/>
      <c r="AM3" s="7"/>
      <c r="AO3" s="7"/>
      <c r="AP3" s="7"/>
      <c r="AQ3" s="7"/>
      <c r="AS3" s="7"/>
      <c r="AT3" s="7"/>
      <c r="AU3" s="7"/>
    </row>
    <row r="4" spans="1:47" ht="14.5" customHeight="1" thickBot="1">
      <c r="B4" s="6"/>
      <c r="C4" s="2"/>
      <c r="D4" s="2"/>
      <c r="E4" s="2"/>
      <c r="G4" s="583"/>
      <c r="H4" s="583"/>
      <c r="I4" s="583"/>
      <c r="K4" s="122"/>
      <c r="L4" s="122"/>
      <c r="M4" s="122"/>
      <c r="O4" s="122"/>
      <c r="P4" s="122"/>
      <c r="Q4" s="122"/>
      <c r="S4" s="122"/>
      <c r="T4" s="122"/>
      <c r="U4" s="122"/>
      <c r="W4" s="122"/>
      <c r="X4" s="122"/>
      <c r="Y4" s="122"/>
      <c r="AG4" s="122"/>
      <c r="AH4" s="122"/>
      <c r="AI4" s="122"/>
      <c r="AK4" s="122"/>
      <c r="AL4" s="122"/>
      <c r="AM4" s="122"/>
      <c r="AO4" s="122"/>
      <c r="AP4" s="122"/>
      <c r="AQ4" s="122"/>
      <c r="AS4" s="122"/>
      <c r="AT4" s="122"/>
      <c r="AU4" s="122"/>
    </row>
    <row r="5" spans="1:47" ht="31.5" customHeight="1">
      <c r="A5" s="710" t="s">
        <v>3</v>
      </c>
      <c r="B5" s="710" t="s">
        <v>161</v>
      </c>
      <c r="C5" s="742" t="s">
        <v>11</v>
      </c>
      <c r="D5" s="743"/>
      <c r="E5" s="744"/>
      <c r="G5" s="742" t="s">
        <v>11</v>
      </c>
      <c r="H5" s="743"/>
      <c r="I5" s="744"/>
      <c r="J5" s="6"/>
      <c r="K5" s="6"/>
      <c r="L5" s="6"/>
      <c r="M5" s="6"/>
      <c r="O5" s="6"/>
      <c r="P5" s="6"/>
      <c r="Q5" s="6"/>
      <c r="S5" s="6"/>
      <c r="T5" s="6"/>
      <c r="U5" s="6"/>
      <c r="W5" s="6"/>
      <c r="X5" s="6"/>
      <c r="Y5" s="6"/>
      <c r="AC5" s="6"/>
      <c r="AD5" s="6"/>
      <c r="AE5" s="6"/>
      <c r="AF5" s="6"/>
      <c r="AG5" s="6"/>
      <c r="AH5" s="6"/>
      <c r="AI5" s="6"/>
      <c r="AK5" s="6"/>
      <c r="AL5" s="6"/>
      <c r="AM5" s="6"/>
      <c r="AO5" s="6"/>
      <c r="AP5" s="6"/>
      <c r="AQ5" s="6"/>
      <c r="AS5" s="6"/>
      <c r="AT5" s="6"/>
      <c r="AU5" s="6"/>
    </row>
    <row r="6" spans="1:47" ht="31.5" customHeight="1">
      <c r="A6" s="710"/>
      <c r="B6" s="710"/>
      <c r="C6" s="351" t="s">
        <v>2</v>
      </c>
      <c r="D6" s="9" t="s">
        <v>0</v>
      </c>
      <c r="E6" s="352" t="s">
        <v>141</v>
      </c>
      <c r="G6" s="351" t="s">
        <v>2</v>
      </c>
      <c r="H6" s="9" t="s">
        <v>0</v>
      </c>
      <c r="I6" s="352" t="s">
        <v>141</v>
      </c>
      <c r="J6" s="6"/>
      <c r="K6" s="9"/>
      <c r="L6" s="9"/>
      <c r="M6" s="9"/>
      <c r="O6" s="9"/>
      <c r="P6" s="9"/>
      <c r="Q6" s="9"/>
      <c r="S6" s="9"/>
      <c r="T6" s="9"/>
      <c r="U6" s="9"/>
      <c r="W6" s="9"/>
      <c r="X6" s="9"/>
      <c r="Y6" s="9"/>
      <c r="AC6" s="9"/>
      <c r="AD6" s="9"/>
      <c r="AE6" s="9"/>
      <c r="AF6" s="6"/>
      <c r="AG6" s="9"/>
      <c r="AH6" s="9"/>
      <c r="AI6" s="9"/>
      <c r="AK6" s="9"/>
      <c r="AL6" s="9"/>
      <c r="AM6" s="9"/>
      <c r="AO6" s="9"/>
      <c r="AP6" s="9"/>
      <c r="AQ6" s="9"/>
      <c r="AS6" s="9"/>
      <c r="AT6" s="9"/>
      <c r="AU6" s="9"/>
    </row>
    <row r="7" spans="1:47" ht="21" customHeight="1">
      <c r="A7" s="710"/>
      <c r="B7" s="710"/>
      <c r="C7" s="564">
        <f>IF('Configuration Settings'!H11&gt;0,'Configuration Settings'!H11,'Configuration Settings'!J11)</f>
        <v>0.28000000000000003</v>
      </c>
      <c r="D7" s="563">
        <f>IF('Configuration Settings'!H9&gt;0,'Configuration Settings'!H9,'Configuration Settings'!J9)</f>
        <v>0.24</v>
      </c>
      <c r="E7" s="565">
        <f>IF('Configuration Settings'!H10&gt;0,'Configuration Settings'!H10,'Configuration Settings'!J10)</f>
        <v>0.26</v>
      </c>
      <c r="G7" s="564">
        <f>C7</f>
        <v>0.28000000000000003</v>
      </c>
      <c r="H7" s="563">
        <f>D7</f>
        <v>0.24</v>
      </c>
      <c r="I7" s="565">
        <f>E7</f>
        <v>0.26</v>
      </c>
      <c r="K7" s="10"/>
      <c r="L7" s="10"/>
      <c r="M7" s="10"/>
      <c r="O7" s="10"/>
      <c r="P7" s="10"/>
      <c r="Q7" s="10"/>
      <c r="S7" s="10"/>
      <c r="T7" s="10"/>
      <c r="U7" s="10"/>
      <c r="W7" s="10"/>
      <c r="X7" s="10"/>
      <c r="Y7" s="10"/>
      <c r="AC7" s="7"/>
      <c r="AD7" s="7"/>
      <c r="AE7" s="7"/>
      <c r="AG7" s="7"/>
      <c r="AH7" s="7"/>
      <c r="AI7" s="7"/>
      <c r="AK7" s="7"/>
      <c r="AL7" s="7"/>
      <c r="AM7" s="7"/>
      <c r="AO7" s="7"/>
      <c r="AP7" s="7"/>
      <c r="AQ7" s="7"/>
      <c r="AS7" s="7"/>
      <c r="AT7" s="7"/>
      <c r="AU7" s="7"/>
    </row>
    <row r="8" spans="1:47" ht="21" customHeight="1" thickBot="1">
      <c r="A8" s="9"/>
      <c r="B8" s="9"/>
      <c r="C8" s="745" t="s">
        <v>4</v>
      </c>
      <c r="D8" s="746"/>
      <c r="E8" s="747"/>
      <c r="G8" s="748" t="s">
        <v>142</v>
      </c>
      <c r="H8" s="749"/>
      <c r="I8" s="750"/>
      <c r="K8" s="236"/>
      <c r="L8" s="236"/>
      <c r="M8" s="236"/>
      <c r="O8" s="236"/>
      <c r="P8" s="236"/>
      <c r="Q8" s="236"/>
      <c r="S8" s="236"/>
      <c r="T8" s="236"/>
      <c r="U8" s="236"/>
      <c r="W8" s="236"/>
      <c r="X8" s="236"/>
      <c r="Y8" s="236"/>
      <c r="AC8" s="7"/>
      <c r="AD8" s="7"/>
      <c r="AE8" s="7"/>
      <c r="AG8" s="7"/>
      <c r="AH8" s="7"/>
      <c r="AI8" s="7"/>
      <c r="AK8" s="7"/>
      <c r="AL8" s="7"/>
      <c r="AM8" s="7"/>
      <c r="AO8" s="7"/>
      <c r="AP8" s="7"/>
      <c r="AQ8" s="7"/>
      <c r="AS8" s="7"/>
      <c r="AT8" s="7"/>
      <c r="AU8" s="7"/>
    </row>
    <row r="9" spans="1:47" ht="21" customHeight="1">
      <c r="A9" s="218">
        <v>0.1</v>
      </c>
      <c r="B9" s="372">
        <v>0</v>
      </c>
      <c r="C9" s="129">
        <f t="shared" ref="C9:E10" si="0">$A$10*$B9*C$7</f>
        <v>0</v>
      </c>
      <c r="D9" s="124">
        <f t="shared" si="0"/>
        <v>0</v>
      </c>
      <c r="E9" s="130">
        <f t="shared" si="0"/>
        <v>0</v>
      </c>
      <c r="F9" s="125"/>
      <c r="G9" s="133">
        <f t="shared" ref="G9:I10" si="1">C9</f>
        <v>0</v>
      </c>
      <c r="H9" s="126">
        <f t="shared" si="1"/>
        <v>0</v>
      </c>
      <c r="I9" s="127">
        <f t="shared" si="1"/>
        <v>0</v>
      </c>
      <c r="K9" s="500"/>
      <c r="L9" s="500"/>
      <c r="M9" s="500"/>
      <c r="O9" s="500"/>
      <c r="P9" s="500"/>
      <c r="Q9" s="500"/>
      <c r="S9" s="500"/>
      <c r="T9" s="500"/>
      <c r="U9" s="500"/>
      <c r="W9" s="236"/>
      <c r="X9" s="236"/>
      <c r="Y9" s="236"/>
      <c r="AC9" s="7"/>
      <c r="AD9" s="7"/>
      <c r="AE9" s="7"/>
      <c r="AG9" s="7"/>
      <c r="AH9" s="7"/>
      <c r="AI9" s="7"/>
      <c r="AK9" s="7"/>
      <c r="AL9" s="7"/>
      <c r="AM9" s="7"/>
      <c r="AO9" s="7"/>
      <c r="AP9" s="7"/>
      <c r="AQ9" s="7"/>
      <c r="AS9" s="7"/>
      <c r="AT9" s="7"/>
      <c r="AU9" s="7"/>
    </row>
    <row r="10" spans="1:47">
      <c r="A10" s="219">
        <v>0.1</v>
      </c>
      <c r="B10" s="7">
        <v>0.1</v>
      </c>
      <c r="C10" s="107">
        <f t="shared" si="0"/>
        <v>2.8000000000000008E-3</v>
      </c>
      <c r="D10" s="8">
        <f t="shared" si="0"/>
        <v>2.4000000000000002E-3</v>
      </c>
      <c r="E10" s="131">
        <f t="shared" si="0"/>
        <v>2.6000000000000007E-3</v>
      </c>
      <c r="G10" s="114">
        <f t="shared" si="1"/>
        <v>2.8000000000000008E-3</v>
      </c>
      <c r="H10" s="5">
        <f t="shared" si="1"/>
        <v>2.4000000000000002E-3</v>
      </c>
      <c r="I10" s="108">
        <f t="shared" si="1"/>
        <v>2.6000000000000007E-3</v>
      </c>
      <c r="K10" s="5"/>
      <c r="L10" s="5"/>
      <c r="M10" s="5"/>
      <c r="O10" s="5"/>
      <c r="P10" s="5"/>
      <c r="Q10" s="5"/>
      <c r="S10" s="5"/>
      <c r="T10" s="5"/>
      <c r="U10" s="5"/>
      <c r="W10" s="5"/>
      <c r="X10" s="5"/>
      <c r="Y10" s="5"/>
      <c r="AC10" s="5"/>
      <c r="AD10" s="5"/>
      <c r="AE10" s="5"/>
      <c r="AG10" s="5"/>
      <c r="AH10" s="5"/>
      <c r="AI10" s="5"/>
      <c r="AK10" s="5"/>
      <c r="AL10" s="5"/>
      <c r="AM10" s="5"/>
      <c r="AO10" s="5"/>
      <c r="AP10" s="5"/>
      <c r="AQ10" s="5"/>
      <c r="AS10" s="5"/>
      <c r="AT10" s="5"/>
      <c r="AU10" s="5"/>
    </row>
    <row r="11" spans="1:47">
      <c r="A11" s="219">
        <v>0.1</v>
      </c>
      <c r="B11" s="7">
        <v>0.2</v>
      </c>
      <c r="C11" s="107">
        <f t="shared" ref="C11:E13" si="2">$A$10*$B11*C$7</f>
        <v>5.6000000000000017E-3</v>
      </c>
      <c r="D11" s="8">
        <f t="shared" si="2"/>
        <v>4.8000000000000004E-3</v>
      </c>
      <c r="E11" s="131">
        <f t="shared" si="2"/>
        <v>5.2000000000000015E-3</v>
      </c>
      <c r="G11" s="114">
        <f t="shared" ref="G11:G14" si="3">C11</f>
        <v>5.6000000000000017E-3</v>
      </c>
      <c r="H11" s="5">
        <f t="shared" ref="H11:H14" si="4">D11</f>
        <v>4.8000000000000004E-3</v>
      </c>
      <c r="I11" s="108">
        <f t="shared" ref="I11:I14" si="5">E11</f>
        <v>5.2000000000000015E-3</v>
      </c>
      <c r="K11" s="5"/>
      <c r="L11" s="5"/>
      <c r="M11" s="5"/>
      <c r="O11" s="5"/>
      <c r="P11" s="5"/>
      <c r="Q11" s="5"/>
      <c r="S11" s="5"/>
      <c r="T11" s="5"/>
      <c r="U11" s="5"/>
      <c r="W11" s="5"/>
      <c r="X11" s="5"/>
      <c r="Y11" s="5"/>
      <c r="AC11" s="5"/>
      <c r="AD11" s="5"/>
      <c r="AE11" s="5"/>
      <c r="AG11" s="5"/>
      <c r="AH11" s="5"/>
      <c r="AI11" s="5"/>
      <c r="AK11" s="5"/>
      <c r="AL11" s="5"/>
      <c r="AM11" s="5"/>
      <c r="AO11" s="5"/>
      <c r="AP11" s="5"/>
      <c r="AQ11" s="5"/>
      <c r="AS11" s="5"/>
      <c r="AT11" s="5"/>
      <c r="AU11" s="5"/>
    </row>
    <row r="12" spans="1:47">
      <c r="A12" s="219">
        <v>0.1</v>
      </c>
      <c r="B12" s="7">
        <v>0.3</v>
      </c>
      <c r="C12" s="107">
        <f t="shared" si="2"/>
        <v>8.4000000000000012E-3</v>
      </c>
      <c r="D12" s="8">
        <f t="shared" si="2"/>
        <v>7.1999999999999998E-3</v>
      </c>
      <c r="E12" s="131">
        <f t="shared" si="2"/>
        <v>7.7999999999999996E-3</v>
      </c>
      <c r="G12" s="114">
        <f t="shared" si="3"/>
        <v>8.4000000000000012E-3</v>
      </c>
      <c r="H12" s="5">
        <f t="shared" si="4"/>
        <v>7.1999999999999998E-3</v>
      </c>
      <c r="I12" s="108">
        <f t="shared" si="5"/>
        <v>7.7999999999999996E-3</v>
      </c>
      <c r="K12" s="5"/>
      <c r="L12" s="5"/>
      <c r="M12" s="5"/>
      <c r="O12" s="5"/>
      <c r="P12" s="5"/>
      <c r="Q12" s="5"/>
      <c r="S12" s="5"/>
      <c r="T12" s="5"/>
      <c r="U12" s="5"/>
      <c r="W12" s="5"/>
      <c r="X12" s="5"/>
      <c r="Y12" s="5"/>
      <c r="AC12" s="5"/>
      <c r="AD12" s="5"/>
      <c r="AE12" s="5"/>
      <c r="AG12" s="5"/>
      <c r="AH12" s="5"/>
      <c r="AI12" s="5"/>
      <c r="AK12" s="5"/>
      <c r="AL12" s="5"/>
      <c r="AM12" s="5"/>
      <c r="AO12" s="5"/>
      <c r="AP12" s="5"/>
      <c r="AQ12" s="5"/>
      <c r="AS12" s="5"/>
      <c r="AT12" s="5"/>
      <c r="AU12" s="5"/>
    </row>
    <row r="13" spans="1:47" ht="15" thickBot="1">
      <c r="A13" s="219">
        <v>0.1</v>
      </c>
      <c r="B13" s="7">
        <v>0.4</v>
      </c>
      <c r="C13" s="107">
        <f t="shared" si="2"/>
        <v>1.1200000000000003E-2</v>
      </c>
      <c r="D13" s="8">
        <f t="shared" si="2"/>
        <v>9.6000000000000009E-3</v>
      </c>
      <c r="E13" s="131">
        <f t="shared" si="2"/>
        <v>1.0400000000000003E-2</v>
      </c>
      <c r="G13" s="114">
        <f t="shared" si="3"/>
        <v>1.1200000000000003E-2</v>
      </c>
      <c r="H13" s="5">
        <f t="shared" si="4"/>
        <v>9.6000000000000009E-3</v>
      </c>
      <c r="I13" s="108">
        <f t="shared" si="5"/>
        <v>1.0400000000000003E-2</v>
      </c>
      <c r="K13" s="5"/>
      <c r="L13" s="5"/>
      <c r="M13" s="5"/>
      <c r="O13" s="5"/>
      <c r="P13" s="5"/>
      <c r="Q13" s="5"/>
      <c r="S13" s="5"/>
      <c r="T13" s="5"/>
      <c r="U13" s="5"/>
      <c r="W13" s="5"/>
      <c r="X13" s="5"/>
      <c r="Y13" s="5"/>
      <c r="AC13" s="5"/>
      <c r="AD13" s="5"/>
      <c r="AE13" s="5"/>
      <c r="AG13" s="5"/>
      <c r="AH13" s="5"/>
      <c r="AI13" s="5"/>
      <c r="AK13" s="5"/>
      <c r="AL13" s="5"/>
      <c r="AM13" s="5"/>
      <c r="AO13" s="5"/>
      <c r="AP13" s="5"/>
      <c r="AQ13" s="5"/>
      <c r="AS13" s="5"/>
      <c r="AT13" s="5"/>
      <c r="AU13" s="5"/>
    </row>
    <row r="14" spans="1:47">
      <c r="A14" s="218">
        <v>0.2</v>
      </c>
      <c r="B14" s="372">
        <v>0</v>
      </c>
      <c r="C14" s="129">
        <f t="shared" ref="C14:E15" si="6">$A$15*$B14*C$7</f>
        <v>0</v>
      </c>
      <c r="D14" s="124">
        <f t="shared" si="6"/>
        <v>0</v>
      </c>
      <c r="E14" s="130">
        <f t="shared" si="6"/>
        <v>0</v>
      </c>
      <c r="F14" s="125"/>
      <c r="G14" s="133">
        <f t="shared" si="3"/>
        <v>0</v>
      </c>
      <c r="H14" s="126">
        <f t="shared" si="4"/>
        <v>0</v>
      </c>
      <c r="I14" s="127">
        <f t="shared" si="5"/>
        <v>0</v>
      </c>
      <c r="K14" s="5"/>
      <c r="L14" s="5"/>
      <c r="M14" s="5"/>
      <c r="O14" s="5"/>
      <c r="P14" s="5"/>
      <c r="Q14" s="5"/>
      <c r="S14" s="5"/>
      <c r="T14" s="5"/>
      <c r="U14" s="5"/>
      <c r="W14" s="5"/>
      <c r="X14" s="5"/>
      <c r="Y14" s="5"/>
      <c r="AC14" s="5"/>
      <c r="AD14" s="5"/>
      <c r="AE14" s="5"/>
      <c r="AG14" s="5"/>
      <c r="AH14" s="5"/>
      <c r="AI14" s="5"/>
      <c r="AK14" s="5"/>
      <c r="AL14" s="5"/>
      <c r="AM14" s="5"/>
      <c r="AO14" s="5"/>
      <c r="AP14" s="5"/>
      <c r="AQ14" s="5"/>
      <c r="AS14" s="5"/>
      <c r="AT14" s="5"/>
      <c r="AU14" s="5"/>
    </row>
    <row r="15" spans="1:47">
      <c r="A15" s="219">
        <v>0.2</v>
      </c>
      <c r="B15" s="7">
        <v>0.1</v>
      </c>
      <c r="C15" s="107">
        <f t="shared" si="6"/>
        <v>5.6000000000000017E-3</v>
      </c>
      <c r="D15" s="8">
        <f t="shared" si="6"/>
        <v>4.8000000000000004E-3</v>
      </c>
      <c r="E15" s="131">
        <f t="shared" si="6"/>
        <v>5.2000000000000015E-3</v>
      </c>
      <c r="G15" s="114">
        <f t="shared" ref="G15:G26" si="7">C15</f>
        <v>5.6000000000000017E-3</v>
      </c>
      <c r="H15" s="5">
        <f t="shared" ref="H15:H26" si="8">D15</f>
        <v>4.8000000000000004E-3</v>
      </c>
      <c r="I15" s="108">
        <f t="shared" ref="I15:I26" si="9">E15</f>
        <v>5.2000000000000015E-3</v>
      </c>
      <c r="K15" s="5"/>
      <c r="L15" s="5"/>
      <c r="M15" s="5"/>
      <c r="O15" s="5"/>
      <c r="P15" s="5"/>
      <c r="Q15" s="5"/>
      <c r="S15" s="5"/>
      <c r="T15" s="5"/>
      <c r="U15" s="5"/>
      <c r="W15" s="5"/>
      <c r="X15" s="5"/>
      <c r="Y15" s="5"/>
      <c r="AC15" s="5"/>
      <c r="AD15" s="5"/>
      <c r="AE15" s="5"/>
      <c r="AG15" s="5"/>
      <c r="AH15" s="5"/>
      <c r="AI15" s="5"/>
      <c r="AK15" s="5"/>
      <c r="AL15" s="5"/>
      <c r="AM15" s="5"/>
      <c r="AO15" s="5"/>
      <c r="AP15" s="5"/>
      <c r="AQ15" s="5"/>
      <c r="AS15" s="5"/>
      <c r="AT15" s="5"/>
      <c r="AU15" s="5"/>
    </row>
    <row r="16" spans="1:47">
      <c r="A16" s="219">
        <v>0.2</v>
      </c>
      <c r="B16" s="7">
        <v>0.2</v>
      </c>
      <c r="C16" s="107">
        <f t="shared" ref="C16:E18" si="10">$A$15*$B16*C$7</f>
        <v>1.1200000000000003E-2</v>
      </c>
      <c r="D16" s="8">
        <f t="shared" si="10"/>
        <v>9.6000000000000009E-3</v>
      </c>
      <c r="E16" s="131">
        <f t="shared" si="10"/>
        <v>1.0400000000000003E-2</v>
      </c>
      <c r="G16" s="114">
        <f t="shared" ref="G16:G19" si="11">C16</f>
        <v>1.1200000000000003E-2</v>
      </c>
      <c r="H16" s="5">
        <f t="shared" ref="H16:H24" si="12">D16</f>
        <v>9.6000000000000009E-3</v>
      </c>
      <c r="I16" s="108">
        <f t="shared" ref="I16:I24" si="13">E16</f>
        <v>1.0400000000000003E-2</v>
      </c>
      <c r="K16" s="5"/>
      <c r="L16" s="5"/>
      <c r="M16" s="5"/>
      <c r="O16" s="5"/>
      <c r="P16" s="5"/>
      <c r="Q16" s="5"/>
      <c r="S16" s="5"/>
      <c r="T16" s="5"/>
      <c r="U16" s="5"/>
      <c r="W16" s="5"/>
      <c r="X16" s="5"/>
      <c r="Y16" s="5"/>
      <c r="AC16" s="5"/>
      <c r="AD16" s="5"/>
      <c r="AE16" s="5"/>
      <c r="AG16" s="5"/>
      <c r="AH16" s="5"/>
      <c r="AI16" s="5"/>
      <c r="AK16" s="5"/>
      <c r="AL16" s="5"/>
      <c r="AM16" s="5"/>
      <c r="AO16" s="5"/>
      <c r="AP16" s="5"/>
      <c r="AQ16" s="5"/>
      <c r="AS16" s="5"/>
      <c r="AT16" s="5"/>
      <c r="AU16" s="5"/>
    </row>
    <row r="17" spans="1:47">
      <c r="A17" s="219">
        <v>0.2</v>
      </c>
      <c r="B17" s="7">
        <v>0.3</v>
      </c>
      <c r="C17" s="107">
        <f t="shared" si="10"/>
        <v>1.6800000000000002E-2</v>
      </c>
      <c r="D17" s="8">
        <f t="shared" si="10"/>
        <v>1.44E-2</v>
      </c>
      <c r="E17" s="131">
        <f t="shared" si="10"/>
        <v>1.5599999999999999E-2</v>
      </c>
      <c r="G17" s="114">
        <f t="shared" si="11"/>
        <v>1.6800000000000002E-2</v>
      </c>
      <c r="H17" s="5">
        <f t="shared" si="12"/>
        <v>1.44E-2</v>
      </c>
      <c r="I17" s="108">
        <f t="shared" si="13"/>
        <v>1.5599999999999999E-2</v>
      </c>
      <c r="K17" s="5"/>
      <c r="L17" s="5"/>
      <c r="M17" s="5"/>
      <c r="O17" s="5"/>
      <c r="P17" s="5"/>
      <c r="Q17" s="5"/>
      <c r="S17" s="5"/>
      <c r="T17" s="5"/>
      <c r="U17" s="5"/>
      <c r="W17" s="5"/>
      <c r="X17" s="5"/>
      <c r="Y17" s="5"/>
      <c r="AC17" s="5"/>
      <c r="AD17" s="5"/>
      <c r="AE17" s="5"/>
      <c r="AG17" s="5"/>
      <c r="AH17" s="5"/>
      <c r="AI17" s="5"/>
      <c r="AK17" s="5"/>
      <c r="AL17" s="5"/>
      <c r="AM17" s="5"/>
      <c r="AO17" s="5"/>
      <c r="AP17" s="5"/>
      <c r="AQ17" s="5"/>
      <c r="AS17" s="5"/>
      <c r="AT17" s="5"/>
      <c r="AU17" s="5"/>
    </row>
    <row r="18" spans="1:47" ht="15" thickBot="1">
      <c r="A18" s="219">
        <v>0.2</v>
      </c>
      <c r="B18" s="7">
        <v>0.4</v>
      </c>
      <c r="C18" s="107">
        <f t="shared" si="10"/>
        <v>2.2400000000000007E-2</v>
      </c>
      <c r="D18" s="8">
        <f t="shared" si="10"/>
        <v>1.9200000000000002E-2</v>
      </c>
      <c r="E18" s="131">
        <f t="shared" si="10"/>
        <v>2.0800000000000006E-2</v>
      </c>
      <c r="G18" s="114">
        <f t="shared" si="11"/>
        <v>2.2400000000000007E-2</v>
      </c>
      <c r="H18" s="5">
        <f t="shared" si="12"/>
        <v>1.9200000000000002E-2</v>
      </c>
      <c r="I18" s="108">
        <f t="shared" si="13"/>
        <v>2.0800000000000006E-2</v>
      </c>
      <c r="K18" s="5"/>
      <c r="L18" s="5"/>
      <c r="M18" s="5"/>
      <c r="O18" s="5"/>
      <c r="P18" s="5"/>
      <c r="Q18" s="5"/>
      <c r="S18" s="5"/>
      <c r="T18" s="5"/>
      <c r="U18" s="5"/>
      <c r="W18" s="5"/>
      <c r="X18" s="5"/>
      <c r="Y18" s="5"/>
      <c r="AC18" s="5"/>
      <c r="AD18" s="5"/>
      <c r="AE18" s="5"/>
      <c r="AG18" s="5"/>
      <c r="AH18" s="5"/>
      <c r="AI18" s="5"/>
      <c r="AK18" s="5"/>
      <c r="AL18" s="5"/>
      <c r="AM18" s="5"/>
      <c r="AO18" s="5"/>
      <c r="AP18" s="5"/>
      <c r="AQ18" s="5"/>
      <c r="AS18" s="5"/>
      <c r="AT18" s="5"/>
      <c r="AU18" s="5"/>
    </row>
    <row r="19" spans="1:47">
      <c r="A19" s="218">
        <v>0.3</v>
      </c>
      <c r="B19" s="372">
        <v>0</v>
      </c>
      <c r="C19" s="129">
        <f t="shared" ref="C19:E20" si="14">$A$20*$B19*C$7</f>
        <v>0</v>
      </c>
      <c r="D19" s="124">
        <f t="shared" si="14"/>
        <v>0</v>
      </c>
      <c r="E19" s="130">
        <f t="shared" si="14"/>
        <v>0</v>
      </c>
      <c r="F19" s="125"/>
      <c r="G19" s="133">
        <f t="shared" si="11"/>
        <v>0</v>
      </c>
      <c r="H19" s="126">
        <f t="shared" si="12"/>
        <v>0</v>
      </c>
      <c r="I19" s="127">
        <f t="shared" si="13"/>
        <v>0</v>
      </c>
      <c r="K19" s="5"/>
      <c r="L19" s="5"/>
      <c r="M19" s="5"/>
      <c r="O19" s="5"/>
      <c r="P19" s="5"/>
      <c r="Q19" s="5"/>
      <c r="S19" s="5"/>
      <c r="T19" s="5"/>
      <c r="U19" s="5"/>
      <c r="W19" s="5"/>
      <c r="X19" s="5"/>
      <c r="Y19" s="5"/>
      <c r="AC19" s="5"/>
      <c r="AD19" s="5"/>
      <c r="AE19" s="5"/>
      <c r="AG19" s="5"/>
      <c r="AH19" s="5"/>
      <c r="AI19" s="5"/>
      <c r="AK19" s="5"/>
      <c r="AL19" s="5"/>
      <c r="AM19" s="5"/>
      <c r="AO19" s="5"/>
      <c r="AP19" s="5"/>
      <c r="AQ19" s="5"/>
      <c r="AS19" s="5"/>
      <c r="AT19" s="5"/>
      <c r="AU19" s="5"/>
    </row>
    <row r="20" spans="1:47">
      <c r="A20" s="219">
        <v>0.3</v>
      </c>
      <c r="B20" s="7">
        <v>0.1</v>
      </c>
      <c r="C20" s="107">
        <f t="shared" si="14"/>
        <v>8.4000000000000012E-3</v>
      </c>
      <c r="D20" s="8">
        <f t="shared" si="14"/>
        <v>7.1999999999999998E-3</v>
      </c>
      <c r="E20" s="131">
        <f t="shared" si="14"/>
        <v>7.7999999999999996E-3</v>
      </c>
      <c r="G20" s="114">
        <f t="shared" si="7"/>
        <v>8.4000000000000012E-3</v>
      </c>
      <c r="H20" s="5">
        <f t="shared" si="12"/>
        <v>7.1999999999999998E-3</v>
      </c>
      <c r="I20" s="108">
        <f t="shared" si="13"/>
        <v>7.7999999999999996E-3</v>
      </c>
      <c r="K20" s="5"/>
      <c r="L20" s="5"/>
      <c r="M20" s="5"/>
      <c r="O20" s="5"/>
      <c r="P20" s="5"/>
      <c r="Q20" s="5"/>
      <c r="S20" s="5"/>
      <c r="T20" s="5"/>
      <c r="U20" s="5"/>
      <c r="W20" s="5"/>
      <c r="X20" s="5"/>
      <c r="Y20" s="5"/>
      <c r="AC20" s="5"/>
      <c r="AD20" s="5"/>
      <c r="AE20" s="5"/>
      <c r="AG20" s="5"/>
      <c r="AH20" s="5"/>
      <c r="AI20" s="5"/>
      <c r="AK20" s="5"/>
      <c r="AL20" s="5"/>
      <c r="AM20" s="5"/>
      <c r="AO20" s="5"/>
      <c r="AP20" s="5"/>
      <c r="AQ20" s="5"/>
      <c r="AS20" s="5"/>
      <c r="AT20" s="5"/>
      <c r="AU20" s="5"/>
    </row>
    <row r="21" spans="1:47">
      <c r="A21" s="219">
        <v>0.3</v>
      </c>
      <c r="B21" s="7">
        <v>0.2</v>
      </c>
      <c r="C21" s="107">
        <f t="shared" ref="C21:E23" si="15">$A$20*$B21*C$7</f>
        <v>1.6800000000000002E-2</v>
      </c>
      <c r="D21" s="8">
        <f t="shared" si="15"/>
        <v>1.44E-2</v>
      </c>
      <c r="E21" s="131">
        <f t="shared" si="15"/>
        <v>1.5599999999999999E-2</v>
      </c>
      <c r="G21" s="114">
        <f t="shared" ref="G21:G24" si="16">C21</f>
        <v>1.6800000000000002E-2</v>
      </c>
      <c r="H21" s="5">
        <f t="shared" si="12"/>
        <v>1.44E-2</v>
      </c>
      <c r="I21" s="108">
        <f t="shared" si="13"/>
        <v>1.5599999999999999E-2</v>
      </c>
      <c r="K21" s="5"/>
      <c r="L21" s="5"/>
      <c r="M21" s="5"/>
      <c r="O21" s="5"/>
      <c r="P21" s="5"/>
      <c r="Q21" s="5"/>
      <c r="S21" s="5"/>
      <c r="T21" s="5"/>
      <c r="U21" s="5"/>
      <c r="W21" s="5"/>
      <c r="X21" s="5"/>
      <c r="Y21" s="5"/>
      <c r="AC21" s="5"/>
      <c r="AD21" s="5"/>
      <c r="AE21" s="5"/>
      <c r="AG21" s="5"/>
      <c r="AH21" s="5"/>
      <c r="AI21" s="5"/>
      <c r="AK21" s="5"/>
      <c r="AL21" s="5"/>
      <c r="AM21" s="5"/>
      <c r="AO21" s="5"/>
      <c r="AP21" s="5"/>
      <c r="AQ21" s="5"/>
      <c r="AS21" s="5"/>
      <c r="AT21" s="5"/>
      <c r="AU21" s="5"/>
    </row>
    <row r="22" spans="1:47">
      <c r="A22" s="219">
        <v>0.3</v>
      </c>
      <c r="B22" s="7">
        <v>0.3</v>
      </c>
      <c r="C22" s="107">
        <f t="shared" si="15"/>
        <v>2.52E-2</v>
      </c>
      <c r="D22" s="8">
        <f t="shared" si="15"/>
        <v>2.1599999999999998E-2</v>
      </c>
      <c r="E22" s="131">
        <f t="shared" si="15"/>
        <v>2.3400000000000001E-2</v>
      </c>
      <c r="G22" s="114">
        <f t="shared" si="16"/>
        <v>2.52E-2</v>
      </c>
      <c r="H22" s="5">
        <f t="shared" si="12"/>
        <v>2.1599999999999998E-2</v>
      </c>
      <c r="I22" s="108">
        <f t="shared" si="13"/>
        <v>2.3400000000000001E-2</v>
      </c>
      <c r="K22" s="5"/>
      <c r="L22" s="5"/>
      <c r="M22" s="5"/>
      <c r="O22" s="5"/>
      <c r="P22" s="5"/>
      <c r="Q22" s="5"/>
      <c r="S22" s="5"/>
      <c r="T22" s="5"/>
      <c r="U22" s="5"/>
      <c r="W22" s="5"/>
      <c r="X22" s="5"/>
      <c r="Y22" s="5"/>
      <c r="AC22" s="5"/>
      <c r="AD22" s="5"/>
      <c r="AE22" s="5"/>
      <c r="AG22" s="5"/>
      <c r="AH22" s="5"/>
      <c r="AI22" s="5"/>
      <c r="AK22" s="5"/>
      <c r="AL22" s="5"/>
      <c r="AM22" s="5"/>
      <c r="AO22" s="5"/>
      <c r="AP22" s="5"/>
      <c r="AQ22" s="5"/>
      <c r="AS22" s="5"/>
      <c r="AT22" s="5"/>
      <c r="AU22" s="5"/>
    </row>
    <row r="23" spans="1:47" ht="15" thickBot="1">
      <c r="A23" s="373">
        <v>0.3</v>
      </c>
      <c r="B23" s="128">
        <v>0.4</v>
      </c>
      <c r="C23" s="109">
        <f t="shared" si="15"/>
        <v>3.3600000000000005E-2</v>
      </c>
      <c r="D23" s="110">
        <f t="shared" si="15"/>
        <v>2.8799999999999999E-2</v>
      </c>
      <c r="E23" s="132">
        <f t="shared" si="15"/>
        <v>3.1199999999999999E-2</v>
      </c>
      <c r="F23" s="87"/>
      <c r="G23" s="115">
        <f t="shared" si="16"/>
        <v>3.3600000000000005E-2</v>
      </c>
      <c r="H23" s="111">
        <f t="shared" si="12"/>
        <v>2.8799999999999999E-2</v>
      </c>
      <c r="I23" s="112">
        <f t="shared" si="13"/>
        <v>3.1199999999999999E-2</v>
      </c>
      <c r="K23" s="5"/>
      <c r="L23" s="5"/>
      <c r="M23" s="5"/>
      <c r="O23" s="5"/>
      <c r="P23" s="5"/>
      <c r="Q23" s="5"/>
      <c r="S23" s="5"/>
      <c r="T23" s="5"/>
      <c r="U23" s="5"/>
      <c r="W23" s="5"/>
      <c r="X23" s="5"/>
      <c r="Y23" s="5"/>
      <c r="AC23" s="5"/>
      <c r="AD23" s="5"/>
      <c r="AE23" s="5"/>
      <c r="AG23" s="5"/>
      <c r="AH23" s="5"/>
      <c r="AI23" s="5"/>
      <c r="AK23" s="5"/>
      <c r="AL23" s="5"/>
      <c r="AM23" s="5"/>
      <c r="AO23" s="5"/>
      <c r="AP23" s="5"/>
      <c r="AQ23" s="5"/>
      <c r="AS23" s="5"/>
      <c r="AT23" s="5"/>
      <c r="AU23" s="5"/>
    </row>
    <row r="24" spans="1:47">
      <c r="A24" s="218">
        <v>0.4</v>
      </c>
      <c r="B24" s="372">
        <v>0</v>
      </c>
      <c r="C24" s="129">
        <f t="shared" ref="C24:E25" si="17">$A$25*$B24*C$7</f>
        <v>0</v>
      </c>
      <c r="D24" s="124">
        <f t="shared" si="17"/>
        <v>0</v>
      </c>
      <c r="E24" s="130">
        <f t="shared" si="17"/>
        <v>0</v>
      </c>
      <c r="F24" s="125"/>
      <c r="G24" s="133">
        <f t="shared" si="16"/>
        <v>0</v>
      </c>
      <c r="H24" s="126">
        <f t="shared" si="12"/>
        <v>0</v>
      </c>
      <c r="I24" s="127">
        <f t="shared" si="13"/>
        <v>0</v>
      </c>
      <c r="K24" s="5"/>
      <c r="L24" s="5"/>
      <c r="M24" s="5"/>
      <c r="O24" s="5"/>
      <c r="P24" s="5"/>
      <c r="Q24" s="5"/>
      <c r="S24" s="5"/>
      <c r="T24" s="5"/>
      <c r="U24" s="5"/>
      <c r="W24" s="5"/>
      <c r="X24" s="5"/>
      <c r="Y24" s="5"/>
      <c r="AC24" s="5"/>
      <c r="AD24" s="5"/>
      <c r="AE24" s="5"/>
      <c r="AG24" s="5"/>
      <c r="AH24" s="5"/>
      <c r="AI24" s="5"/>
      <c r="AK24" s="5"/>
      <c r="AL24" s="5"/>
      <c r="AM24" s="5"/>
      <c r="AO24" s="5"/>
      <c r="AP24" s="5"/>
      <c r="AQ24" s="5"/>
      <c r="AS24" s="5"/>
      <c r="AT24" s="5"/>
      <c r="AU24" s="5"/>
    </row>
    <row r="25" spans="1:47">
      <c r="A25" s="219">
        <v>0.4</v>
      </c>
      <c r="B25" s="7">
        <v>0.1</v>
      </c>
      <c r="C25" s="107">
        <f t="shared" si="17"/>
        <v>1.1200000000000003E-2</v>
      </c>
      <c r="D25" s="8">
        <f t="shared" si="17"/>
        <v>9.6000000000000009E-3</v>
      </c>
      <c r="E25" s="131">
        <f t="shared" si="17"/>
        <v>1.0400000000000003E-2</v>
      </c>
      <c r="G25" s="114">
        <f t="shared" si="7"/>
        <v>1.1200000000000003E-2</v>
      </c>
      <c r="H25" s="5">
        <f t="shared" si="8"/>
        <v>9.6000000000000009E-3</v>
      </c>
      <c r="I25" s="108">
        <f t="shared" si="9"/>
        <v>1.0400000000000003E-2</v>
      </c>
      <c r="K25" s="5"/>
      <c r="L25" s="5"/>
      <c r="M25" s="5"/>
      <c r="O25" s="5"/>
      <c r="P25" s="5"/>
      <c r="Q25" s="5"/>
      <c r="S25" s="5"/>
      <c r="T25" s="5"/>
      <c r="U25" s="5"/>
      <c r="W25" s="5"/>
      <c r="X25" s="5"/>
      <c r="Y25" s="5"/>
      <c r="AC25" s="5"/>
      <c r="AD25" s="5"/>
      <c r="AE25" s="5"/>
      <c r="AG25" s="5"/>
      <c r="AH25" s="5"/>
      <c r="AI25" s="5"/>
      <c r="AK25" s="5"/>
      <c r="AL25" s="5"/>
      <c r="AM25" s="5"/>
      <c r="AO25" s="5"/>
      <c r="AP25" s="5"/>
      <c r="AQ25" s="5"/>
      <c r="AS25" s="5"/>
      <c r="AT25" s="5"/>
      <c r="AU25" s="5"/>
    </row>
    <row r="26" spans="1:47">
      <c r="A26" s="219">
        <v>0.4</v>
      </c>
      <c r="B26" s="7">
        <v>0.2</v>
      </c>
      <c r="C26" s="107">
        <f t="shared" ref="C26:E28" si="18">$A$25*$B26*C$7</f>
        <v>2.2400000000000007E-2</v>
      </c>
      <c r="D26" s="8">
        <f t="shared" si="18"/>
        <v>1.9200000000000002E-2</v>
      </c>
      <c r="E26" s="131">
        <f t="shared" si="18"/>
        <v>2.0800000000000006E-2</v>
      </c>
      <c r="G26" s="114">
        <f t="shared" si="7"/>
        <v>2.2400000000000007E-2</v>
      </c>
      <c r="H26" s="5">
        <f t="shared" si="8"/>
        <v>1.9200000000000002E-2</v>
      </c>
      <c r="I26" s="108">
        <f t="shared" si="9"/>
        <v>2.0800000000000006E-2</v>
      </c>
      <c r="K26" s="5"/>
      <c r="L26" s="5"/>
      <c r="M26" s="5"/>
      <c r="O26" s="5"/>
      <c r="P26" s="5"/>
      <c r="Q26" s="5"/>
      <c r="S26" s="5"/>
      <c r="T26" s="5"/>
      <c r="U26" s="5"/>
      <c r="W26" s="5"/>
      <c r="X26" s="5"/>
      <c r="Y26" s="5"/>
      <c r="AC26" s="5"/>
      <c r="AD26" s="5"/>
      <c r="AE26" s="5"/>
      <c r="AG26" s="5"/>
      <c r="AH26" s="5"/>
      <c r="AI26" s="5"/>
      <c r="AK26" s="5"/>
      <c r="AL26" s="5"/>
      <c r="AM26" s="5"/>
      <c r="AO26" s="5"/>
      <c r="AP26" s="5"/>
      <c r="AQ26" s="5"/>
      <c r="AS26" s="5"/>
      <c r="AT26" s="5"/>
      <c r="AU26" s="5"/>
    </row>
    <row r="27" spans="1:47">
      <c r="A27" s="219">
        <v>0.4</v>
      </c>
      <c r="B27" s="7">
        <v>0.3</v>
      </c>
      <c r="C27" s="107">
        <f t="shared" si="18"/>
        <v>3.3600000000000005E-2</v>
      </c>
      <c r="D27" s="8">
        <f t="shared" si="18"/>
        <v>2.8799999999999999E-2</v>
      </c>
      <c r="E27" s="131">
        <f t="shared" si="18"/>
        <v>3.1199999999999999E-2</v>
      </c>
      <c r="G27" s="114">
        <f t="shared" ref="G27:G53" si="19">C27</f>
        <v>3.3600000000000005E-2</v>
      </c>
      <c r="H27" s="5">
        <f t="shared" ref="H27:H53" si="20">D27</f>
        <v>2.8799999999999999E-2</v>
      </c>
      <c r="I27" s="108">
        <f t="shared" ref="I27:I53" si="21">E27</f>
        <v>3.1199999999999999E-2</v>
      </c>
      <c r="K27" s="5"/>
      <c r="L27" s="5"/>
      <c r="M27" s="5"/>
      <c r="O27" s="5"/>
      <c r="P27" s="5"/>
      <c r="Q27" s="5"/>
      <c r="S27" s="5"/>
      <c r="T27" s="5"/>
      <c r="U27" s="5"/>
      <c r="W27" s="5"/>
      <c r="X27" s="5"/>
      <c r="Y27" s="5"/>
      <c r="AC27" s="5"/>
      <c r="AD27" s="5"/>
      <c r="AE27" s="5"/>
      <c r="AG27" s="5"/>
      <c r="AH27" s="5"/>
      <c r="AI27" s="5"/>
      <c r="AK27" s="5"/>
      <c r="AL27" s="5"/>
      <c r="AM27" s="5"/>
      <c r="AO27" s="5"/>
      <c r="AP27" s="5"/>
      <c r="AQ27" s="5"/>
      <c r="AS27" s="5"/>
      <c r="AT27" s="5"/>
      <c r="AU27" s="5"/>
    </row>
    <row r="28" spans="1:47" ht="15" thickBot="1">
      <c r="A28" s="373">
        <v>0.4</v>
      </c>
      <c r="B28" s="128">
        <v>0.4</v>
      </c>
      <c r="C28" s="109">
        <f t="shared" si="18"/>
        <v>4.4800000000000013E-2</v>
      </c>
      <c r="D28" s="110">
        <f t="shared" si="18"/>
        <v>3.8400000000000004E-2</v>
      </c>
      <c r="E28" s="132">
        <f t="shared" si="18"/>
        <v>4.1600000000000012E-2</v>
      </c>
      <c r="F28" s="87"/>
      <c r="G28" s="115">
        <f t="shared" si="19"/>
        <v>4.4800000000000013E-2</v>
      </c>
      <c r="H28" s="111">
        <f t="shared" si="20"/>
        <v>3.8400000000000004E-2</v>
      </c>
      <c r="I28" s="112">
        <f t="shared" si="21"/>
        <v>4.1600000000000012E-2</v>
      </c>
      <c r="K28" s="5"/>
      <c r="L28" s="5"/>
      <c r="M28" s="5"/>
      <c r="O28" s="5"/>
      <c r="P28" s="5"/>
      <c r="Q28" s="5"/>
      <c r="S28" s="5"/>
      <c r="T28" s="5"/>
      <c r="U28" s="5"/>
      <c r="W28" s="5"/>
      <c r="X28" s="5"/>
      <c r="Y28" s="5"/>
      <c r="AC28" s="5"/>
      <c r="AD28" s="5"/>
      <c r="AE28" s="5"/>
      <c r="AG28" s="5"/>
      <c r="AH28" s="5"/>
      <c r="AI28" s="5"/>
      <c r="AK28" s="5"/>
      <c r="AL28" s="5"/>
      <c r="AM28" s="5"/>
      <c r="AO28" s="5"/>
      <c r="AP28" s="5"/>
      <c r="AQ28" s="5"/>
      <c r="AS28" s="5"/>
      <c r="AT28" s="5"/>
      <c r="AU28" s="5"/>
    </row>
    <row r="29" spans="1:47">
      <c r="A29" s="218">
        <v>0.5</v>
      </c>
      <c r="B29" s="372">
        <v>0</v>
      </c>
      <c r="C29" s="129">
        <f t="shared" ref="C29:E30" si="22">$A$30*$B29*C$7</f>
        <v>0</v>
      </c>
      <c r="D29" s="124">
        <f t="shared" si="22"/>
        <v>0</v>
      </c>
      <c r="E29" s="130">
        <f t="shared" si="22"/>
        <v>0</v>
      </c>
      <c r="F29" s="125"/>
      <c r="G29" s="133">
        <f t="shared" si="19"/>
        <v>0</v>
      </c>
      <c r="H29" s="126">
        <f t="shared" si="20"/>
        <v>0</v>
      </c>
      <c r="I29" s="127">
        <f t="shared" si="21"/>
        <v>0</v>
      </c>
      <c r="K29" s="5"/>
      <c r="L29" s="5"/>
      <c r="M29" s="5"/>
      <c r="O29" s="5"/>
      <c r="P29" s="5"/>
      <c r="Q29" s="5"/>
      <c r="S29" s="5"/>
      <c r="T29" s="5"/>
      <c r="U29" s="5"/>
      <c r="W29" s="5"/>
      <c r="X29" s="5"/>
      <c r="Y29" s="5"/>
      <c r="AC29" s="5"/>
      <c r="AD29" s="5"/>
      <c r="AE29" s="5"/>
      <c r="AG29" s="5"/>
      <c r="AH29" s="5"/>
      <c r="AI29" s="5"/>
      <c r="AK29" s="5"/>
      <c r="AL29" s="5"/>
      <c r="AM29" s="5"/>
      <c r="AO29" s="5"/>
      <c r="AP29" s="5"/>
      <c r="AQ29" s="5"/>
      <c r="AS29" s="5"/>
      <c r="AT29" s="5"/>
      <c r="AU29" s="5"/>
    </row>
    <row r="30" spans="1:47">
      <c r="A30" s="219">
        <v>0.5</v>
      </c>
      <c r="B30" s="7">
        <v>0.1</v>
      </c>
      <c r="C30" s="107">
        <f t="shared" si="22"/>
        <v>1.4000000000000002E-2</v>
      </c>
      <c r="D30" s="8">
        <f t="shared" si="22"/>
        <v>1.2E-2</v>
      </c>
      <c r="E30" s="131">
        <f t="shared" si="22"/>
        <v>1.3000000000000001E-2</v>
      </c>
      <c r="G30" s="114">
        <f t="shared" si="19"/>
        <v>1.4000000000000002E-2</v>
      </c>
      <c r="H30" s="5">
        <f t="shared" si="20"/>
        <v>1.2E-2</v>
      </c>
      <c r="I30" s="108">
        <f t="shared" si="21"/>
        <v>1.3000000000000001E-2</v>
      </c>
      <c r="K30" s="5"/>
      <c r="L30" s="5"/>
      <c r="M30" s="5"/>
      <c r="O30" s="5"/>
      <c r="P30" s="5"/>
      <c r="Q30" s="5"/>
      <c r="S30" s="5"/>
      <c r="T30" s="5"/>
      <c r="U30" s="5"/>
      <c r="W30" s="5"/>
      <c r="X30" s="5"/>
      <c r="Y30" s="5"/>
      <c r="AC30" s="5"/>
      <c r="AD30" s="5"/>
      <c r="AE30" s="5"/>
      <c r="AG30" s="5"/>
      <c r="AH30" s="5"/>
      <c r="AI30" s="5"/>
      <c r="AK30" s="5"/>
      <c r="AL30" s="5"/>
      <c r="AM30" s="5"/>
      <c r="AO30" s="5"/>
      <c r="AP30" s="5"/>
      <c r="AQ30" s="5"/>
    </row>
    <row r="31" spans="1:47">
      <c r="A31" s="219">
        <v>0.5</v>
      </c>
      <c r="B31" s="7">
        <v>0.2</v>
      </c>
      <c r="C31" s="107">
        <f t="shared" ref="C31:E33" si="23">$A$30*$B31*C$7</f>
        <v>2.8000000000000004E-2</v>
      </c>
      <c r="D31" s="8">
        <f t="shared" si="23"/>
        <v>2.4E-2</v>
      </c>
      <c r="E31" s="131">
        <f t="shared" si="23"/>
        <v>2.6000000000000002E-2</v>
      </c>
      <c r="G31" s="114">
        <f t="shared" si="19"/>
        <v>2.8000000000000004E-2</v>
      </c>
      <c r="H31" s="5">
        <f t="shared" si="20"/>
        <v>2.4E-2</v>
      </c>
      <c r="I31" s="108">
        <f t="shared" si="21"/>
        <v>2.6000000000000002E-2</v>
      </c>
      <c r="K31" s="5"/>
      <c r="L31" s="5"/>
      <c r="M31" s="5"/>
      <c r="O31" s="5"/>
      <c r="P31" s="5"/>
      <c r="Q31" s="5"/>
      <c r="S31" s="5"/>
      <c r="T31" s="5"/>
      <c r="U31" s="5"/>
      <c r="W31" s="5"/>
      <c r="X31" s="5"/>
      <c r="Y31" s="5"/>
      <c r="AC31" s="5"/>
      <c r="AD31" s="5"/>
      <c r="AE31" s="5"/>
      <c r="AG31" s="5"/>
      <c r="AH31" s="5"/>
      <c r="AI31" s="5"/>
      <c r="AK31" s="5"/>
      <c r="AL31" s="5"/>
      <c r="AM31" s="5"/>
      <c r="AO31" s="5"/>
      <c r="AP31" s="5"/>
      <c r="AQ31" s="5"/>
    </row>
    <row r="32" spans="1:47">
      <c r="A32" s="219">
        <v>0.5</v>
      </c>
      <c r="B32" s="7">
        <v>0.3</v>
      </c>
      <c r="C32" s="107">
        <f t="shared" si="23"/>
        <v>4.2000000000000003E-2</v>
      </c>
      <c r="D32" s="8">
        <f t="shared" si="23"/>
        <v>3.5999999999999997E-2</v>
      </c>
      <c r="E32" s="131">
        <f t="shared" si="23"/>
        <v>3.9E-2</v>
      </c>
      <c r="G32" s="114">
        <f t="shared" si="19"/>
        <v>4.2000000000000003E-2</v>
      </c>
      <c r="H32" s="5">
        <f t="shared" si="20"/>
        <v>3.5999999999999997E-2</v>
      </c>
      <c r="I32" s="108">
        <f t="shared" si="21"/>
        <v>3.9E-2</v>
      </c>
      <c r="K32" s="5"/>
      <c r="L32" s="5"/>
      <c r="M32" s="5"/>
      <c r="O32" s="5"/>
      <c r="P32" s="5"/>
      <c r="Q32" s="5"/>
      <c r="S32" s="5"/>
      <c r="T32" s="5"/>
      <c r="U32" s="5"/>
      <c r="W32" s="5"/>
      <c r="X32" s="5"/>
      <c r="Y32" s="5"/>
      <c r="AC32" s="5"/>
      <c r="AD32" s="5"/>
      <c r="AE32" s="5"/>
      <c r="AG32" s="5"/>
      <c r="AH32" s="5"/>
      <c r="AI32" s="5"/>
      <c r="AK32" s="5"/>
      <c r="AL32" s="5"/>
      <c r="AM32" s="5"/>
      <c r="AO32" s="5"/>
      <c r="AP32" s="5"/>
      <c r="AQ32" s="5"/>
    </row>
    <row r="33" spans="1:43" ht="15" thickBot="1">
      <c r="A33" s="373">
        <v>0.5</v>
      </c>
      <c r="B33" s="128">
        <v>0.4</v>
      </c>
      <c r="C33" s="109">
        <f t="shared" si="23"/>
        <v>5.6000000000000008E-2</v>
      </c>
      <c r="D33" s="110">
        <f t="shared" si="23"/>
        <v>4.8000000000000001E-2</v>
      </c>
      <c r="E33" s="132">
        <f t="shared" si="23"/>
        <v>5.2000000000000005E-2</v>
      </c>
      <c r="F33" s="87"/>
      <c r="G33" s="115">
        <f t="shared" si="19"/>
        <v>5.6000000000000008E-2</v>
      </c>
      <c r="H33" s="111">
        <f t="shared" si="20"/>
        <v>4.8000000000000001E-2</v>
      </c>
      <c r="I33" s="112">
        <f t="shared" si="21"/>
        <v>5.2000000000000005E-2</v>
      </c>
      <c r="K33" s="5"/>
      <c r="L33" s="5"/>
      <c r="M33" s="5"/>
      <c r="O33" s="5"/>
      <c r="P33" s="5"/>
      <c r="Q33" s="5"/>
      <c r="S33" s="5"/>
      <c r="T33" s="5"/>
      <c r="U33" s="5"/>
      <c r="W33" s="5"/>
      <c r="X33" s="5"/>
      <c r="Y33" s="5"/>
      <c r="AC33" s="5"/>
      <c r="AD33" s="5"/>
      <c r="AE33" s="5"/>
      <c r="AG33" s="5"/>
      <c r="AH33" s="5"/>
      <c r="AI33" s="5"/>
      <c r="AK33" s="5"/>
      <c r="AL33" s="5"/>
      <c r="AM33" s="5"/>
      <c r="AO33" s="5"/>
      <c r="AP33" s="5"/>
      <c r="AQ33" s="5"/>
    </row>
    <row r="34" spans="1:43">
      <c r="A34" s="218">
        <v>0.6</v>
      </c>
      <c r="B34" s="372">
        <v>0</v>
      </c>
      <c r="C34" s="129">
        <f>$A$35*$B34*C$7</f>
        <v>0</v>
      </c>
      <c r="D34" s="124">
        <f t="shared" ref="D34:E38" si="24">$A$35*$B34*D$7</f>
        <v>0</v>
      </c>
      <c r="E34" s="130">
        <f t="shared" si="24"/>
        <v>0</v>
      </c>
      <c r="F34" s="125"/>
      <c r="G34" s="133">
        <f t="shared" si="19"/>
        <v>0</v>
      </c>
      <c r="H34" s="126">
        <f t="shared" si="20"/>
        <v>0</v>
      </c>
      <c r="I34" s="127">
        <f t="shared" si="21"/>
        <v>0</v>
      </c>
      <c r="K34" s="5"/>
      <c r="L34" s="5"/>
      <c r="M34" s="5"/>
      <c r="O34" s="5"/>
      <c r="P34" s="5"/>
      <c r="Q34" s="5"/>
      <c r="S34" s="5"/>
      <c r="T34" s="5"/>
      <c r="U34" s="5"/>
      <c r="W34" s="5"/>
      <c r="X34" s="5"/>
      <c r="Y34" s="5"/>
      <c r="AC34" s="5"/>
      <c r="AD34" s="5"/>
      <c r="AE34" s="5"/>
      <c r="AG34" s="5"/>
      <c r="AH34" s="5"/>
      <c r="AI34" s="5"/>
      <c r="AK34" s="5"/>
      <c r="AL34" s="5"/>
      <c r="AM34" s="5"/>
      <c r="AO34" s="5"/>
      <c r="AP34" s="5"/>
      <c r="AQ34" s="5"/>
    </row>
    <row r="35" spans="1:43">
      <c r="A35" s="219">
        <v>0.6</v>
      </c>
      <c r="B35" s="7">
        <v>0.1</v>
      </c>
      <c r="C35" s="107">
        <f>$A$35*$B35*C$7</f>
        <v>1.6800000000000002E-2</v>
      </c>
      <c r="D35" s="8">
        <f t="shared" si="24"/>
        <v>1.44E-2</v>
      </c>
      <c r="E35" s="131">
        <f t="shared" si="24"/>
        <v>1.5599999999999999E-2</v>
      </c>
      <c r="G35" s="114">
        <f t="shared" si="19"/>
        <v>1.6800000000000002E-2</v>
      </c>
      <c r="H35" s="5">
        <f t="shared" si="20"/>
        <v>1.44E-2</v>
      </c>
      <c r="I35" s="108">
        <f t="shared" si="21"/>
        <v>1.5599999999999999E-2</v>
      </c>
      <c r="K35" s="5"/>
      <c r="L35" s="5"/>
      <c r="M35" s="5"/>
      <c r="O35" s="5"/>
      <c r="P35" s="5"/>
      <c r="Q35" s="5"/>
      <c r="S35" s="5"/>
      <c r="T35" s="5"/>
      <c r="U35" s="5"/>
      <c r="W35" s="5"/>
      <c r="X35" s="5"/>
      <c r="Y35" s="5"/>
      <c r="AC35" s="5"/>
      <c r="AD35" s="5"/>
      <c r="AE35" s="5"/>
      <c r="AG35" s="5"/>
      <c r="AH35" s="5"/>
      <c r="AI35" s="5"/>
      <c r="AK35" s="5"/>
      <c r="AL35" s="5"/>
      <c r="AM35" s="5"/>
      <c r="AO35" s="5"/>
      <c r="AP35" s="5"/>
      <c r="AQ35" s="5"/>
    </row>
    <row r="36" spans="1:43">
      <c r="A36" s="219">
        <v>0.6</v>
      </c>
      <c r="B36" s="7">
        <v>0.2</v>
      </c>
      <c r="C36" s="107">
        <f t="shared" ref="C36:C38" si="25">$A$35*$B36*C$7</f>
        <v>3.3600000000000005E-2</v>
      </c>
      <c r="D36" s="8">
        <f t="shared" si="24"/>
        <v>2.8799999999999999E-2</v>
      </c>
      <c r="E36" s="131">
        <f t="shared" si="24"/>
        <v>3.1199999999999999E-2</v>
      </c>
      <c r="G36" s="114">
        <f t="shared" si="19"/>
        <v>3.3600000000000005E-2</v>
      </c>
      <c r="H36" s="5">
        <f t="shared" si="20"/>
        <v>2.8799999999999999E-2</v>
      </c>
      <c r="I36" s="108">
        <f t="shared" si="21"/>
        <v>3.1199999999999999E-2</v>
      </c>
      <c r="K36" s="5"/>
      <c r="L36" s="5"/>
      <c r="M36" s="5"/>
      <c r="O36" s="5"/>
      <c r="P36" s="5"/>
      <c r="Q36" s="5"/>
      <c r="S36" s="5"/>
      <c r="T36" s="5"/>
      <c r="U36" s="5"/>
      <c r="W36" s="5"/>
      <c r="X36" s="5"/>
      <c r="Y36" s="5"/>
      <c r="AC36" s="5"/>
      <c r="AD36" s="5"/>
      <c r="AE36" s="5"/>
      <c r="AG36" s="5"/>
      <c r="AH36" s="5"/>
      <c r="AI36" s="5"/>
      <c r="AK36" s="5"/>
      <c r="AL36" s="5"/>
      <c r="AM36" s="5"/>
      <c r="AO36" s="5"/>
      <c r="AP36" s="5"/>
      <c r="AQ36" s="5"/>
    </row>
    <row r="37" spans="1:43">
      <c r="A37" s="219">
        <v>0.6</v>
      </c>
      <c r="B37" s="7">
        <v>0.3</v>
      </c>
      <c r="C37" s="107">
        <f t="shared" si="25"/>
        <v>5.04E-2</v>
      </c>
      <c r="D37" s="8">
        <f t="shared" si="24"/>
        <v>4.3199999999999995E-2</v>
      </c>
      <c r="E37" s="131">
        <f t="shared" si="24"/>
        <v>4.6800000000000001E-2</v>
      </c>
      <c r="G37" s="114">
        <f t="shared" si="19"/>
        <v>5.04E-2</v>
      </c>
      <c r="H37" s="5">
        <f t="shared" si="20"/>
        <v>4.3199999999999995E-2</v>
      </c>
      <c r="I37" s="108">
        <f t="shared" si="21"/>
        <v>4.6800000000000001E-2</v>
      </c>
      <c r="K37" s="5"/>
      <c r="L37" s="5"/>
      <c r="M37" s="5"/>
      <c r="O37" s="5"/>
      <c r="P37" s="5"/>
      <c r="Q37" s="5"/>
      <c r="S37" s="5"/>
      <c r="T37" s="5"/>
      <c r="U37" s="5"/>
      <c r="W37" s="5"/>
      <c r="X37" s="5"/>
      <c r="Y37" s="5"/>
      <c r="AC37" s="5"/>
      <c r="AD37" s="5"/>
      <c r="AE37" s="5"/>
      <c r="AG37" s="5"/>
      <c r="AH37" s="5"/>
      <c r="AI37" s="5"/>
      <c r="AK37" s="5"/>
      <c r="AL37" s="5"/>
      <c r="AM37" s="5"/>
      <c r="AO37" s="5"/>
      <c r="AP37" s="5"/>
      <c r="AQ37" s="5"/>
    </row>
    <row r="38" spans="1:43" ht="15" thickBot="1">
      <c r="A38" s="373">
        <v>0.6</v>
      </c>
      <c r="B38" s="128">
        <v>0.4</v>
      </c>
      <c r="C38" s="109">
        <f t="shared" si="25"/>
        <v>6.720000000000001E-2</v>
      </c>
      <c r="D38" s="110">
        <f t="shared" si="24"/>
        <v>5.7599999999999998E-2</v>
      </c>
      <c r="E38" s="132">
        <f t="shared" si="24"/>
        <v>6.2399999999999997E-2</v>
      </c>
      <c r="F38" s="87"/>
      <c r="G38" s="115">
        <f t="shared" si="19"/>
        <v>6.720000000000001E-2</v>
      </c>
      <c r="H38" s="111">
        <f t="shared" si="20"/>
        <v>5.7599999999999998E-2</v>
      </c>
      <c r="I38" s="112">
        <f t="shared" si="21"/>
        <v>6.2399999999999997E-2</v>
      </c>
      <c r="K38" s="5"/>
      <c r="L38" s="5"/>
      <c r="M38" s="5"/>
      <c r="O38" s="5"/>
      <c r="P38" s="5"/>
      <c r="Q38" s="5"/>
      <c r="S38" s="5"/>
      <c r="T38" s="5"/>
      <c r="U38" s="5"/>
      <c r="W38" s="5"/>
      <c r="X38" s="5"/>
      <c r="Y38" s="5"/>
      <c r="AC38" s="5"/>
      <c r="AD38" s="5"/>
      <c r="AE38" s="5"/>
      <c r="AG38" s="5"/>
      <c r="AH38" s="5"/>
      <c r="AI38" s="5"/>
      <c r="AK38" s="5"/>
      <c r="AL38" s="5"/>
      <c r="AM38" s="5"/>
      <c r="AO38" s="5"/>
      <c r="AP38" s="5"/>
      <c r="AQ38" s="5"/>
    </row>
    <row r="39" spans="1:43">
      <c r="A39" s="218">
        <v>0.7</v>
      </c>
      <c r="B39" s="372">
        <v>0</v>
      </c>
      <c r="C39" s="129">
        <f>$A$40*$B39*C$7</f>
        <v>0</v>
      </c>
      <c r="D39" s="124">
        <f t="shared" ref="D39:E43" si="26">$A$40*$B39*D$7</f>
        <v>0</v>
      </c>
      <c r="E39" s="130">
        <f t="shared" si="26"/>
        <v>0</v>
      </c>
      <c r="F39" s="125"/>
      <c r="G39" s="133">
        <f t="shared" si="19"/>
        <v>0</v>
      </c>
      <c r="H39" s="126">
        <f t="shared" si="20"/>
        <v>0</v>
      </c>
      <c r="I39" s="127">
        <f t="shared" si="21"/>
        <v>0</v>
      </c>
      <c r="K39" s="5"/>
      <c r="L39" s="5"/>
      <c r="M39" s="5"/>
      <c r="O39" s="5"/>
      <c r="P39" s="5"/>
      <c r="Q39" s="5"/>
      <c r="S39" s="5"/>
      <c r="T39" s="5"/>
      <c r="U39" s="5"/>
      <c r="W39" s="5"/>
      <c r="X39" s="5"/>
      <c r="Y39" s="5"/>
      <c r="AC39" s="5"/>
      <c r="AD39" s="5"/>
      <c r="AE39" s="5"/>
      <c r="AG39" s="5"/>
      <c r="AH39" s="5"/>
      <c r="AI39" s="5"/>
      <c r="AK39" s="5"/>
      <c r="AL39" s="5"/>
      <c r="AM39" s="5"/>
      <c r="AO39" s="5"/>
      <c r="AP39" s="5"/>
      <c r="AQ39" s="5"/>
    </row>
    <row r="40" spans="1:43">
      <c r="A40" s="219">
        <v>0.7</v>
      </c>
      <c r="B40" s="7">
        <v>0.1</v>
      </c>
      <c r="C40" s="107">
        <f>$A$40*$B40*C$7</f>
        <v>1.9599999999999999E-2</v>
      </c>
      <c r="D40" s="8">
        <f t="shared" si="26"/>
        <v>1.6799999999999999E-2</v>
      </c>
      <c r="E40" s="131">
        <f t="shared" si="26"/>
        <v>1.8199999999999997E-2</v>
      </c>
      <c r="G40" s="114">
        <f t="shared" si="19"/>
        <v>1.9599999999999999E-2</v>
      </c>
      <c r="H40" s="5">
        <f t="shared" si="20"/>
        <v>1.6799999999999999E-2</v>
      </c>
      <c r="I40" s="108">
        <f t="shared" si="21"/>
        <v>1.8199999999999997E-2</v>
      </c>
      <c r="K40" s="5"/>
      <c r="L40" s="5"/>
      <c r="M40" s="5"/>
      <c r="O40" s="5"/>
      <c r="P40" s="5"/>
      <c r="Q40" s="5"/>
      <c r="S40" s="5"/>
      <c r="T40" s="5"/>
      <c r="U40" s="5"/>
      <c r="W40" s="5"/>
      <c r="X40" s="5"/>
      <c r="Y40" s="5"/>
      <c r="AC40" s="5"/>
      <c r="AD40" s="5"/>
      <c r="AE40" s="5"/>
      <c r="AG40" s="5"/>
      <c r="AH40" s="5"/>
      <c r="AI40" s="5"/>
      <c r="AK40" s="5"/>
      <c r="AL40" s="5"/>
      <c r="AM40" s="5"/>
      <c r="AO40" s="5"/>
      <c r="AP40" s="5"/>
      <c r="AQ40" s="5"/>
    </row>
    <row r="41" spans="1:43">
      <c r="A41" s="219">
        <v>0.7</v>
      </c>
      <c r="B41" s="7">
        <v>0.2</v>
      </c>
      <c r="C41" s="107">
        <f t="shared" ref="C41:C43" si="27">$A$40*$B41*C$7</f>
        <v>3.9199999999999999E-2</v>
      </c>
      <c r="D41" s="8">
        <f t="shared" si="26"/>
        <v>3.3599999999999998E-2</v>
      </c>
      <c r="E41" s="131">
        <f t="shared" si="26"/>
        <v>3.6399999999999995E-2</v>
      </c>
      <c r="G41" s="114">
        <f t="shared" si="19"/>
        <v>3.9199999999999999E-2</v>
      </c>
      <c r="H41" s="5">
        <f t="shared" si="20"/>
        <v>3.3599999999999998E-2</v>
      </c>
      <c r="I41" s="108">
        <f t="shared" si="21"/>
        <v>3.6399999999999995E-2</v>
      </c>
      <c r="K41" s="5"/>
      <c r="L41" s="5"/>
      <c r="M41" s="5"/>
      <c r="O41" s="5"/>
      <c r="P41" s="5"/>
      <c r="Q41" s="5"/>
      <c r="S41" s="5"/>
      <c r="T41" s="5"/>
      <c r="U41" s="5"/>
      <c r="W41" s="5"/>
      <c r="X41" s="5"/>
      <c r="Y41" s="5"/>
      <c r="AC41" s="5"/>
      <c r="AD41" s="5"/>
      <c r="AE41" s="5"/>
      <c r="AG41" s="5"/>
      <c r="AH41" s="5"/>
      <c r="AI41" s="5"/>
      <c r="AK41" s="5"/>
      <c r="AL41" s="5"/>
      <c r="AM41" s="5"/>
      <c r="AO41" s="5"/>
      <c r="AP41" s="5"/>
      <c r="AQ41" s="5"/>
    </row>
    <row r="42" spans="1:43">
      <c r="A42" s="219">
        <v>0.7</v>
      </c>
      <c r="B42" s="7">
        <v>0.3</v>
      </c>
      <c r="C42" s="107">
        <f t="shared" si="27"/>
        <v>5.8800000000000005E-2</v>
      </c>
      <c r="D42" s="8">
        <f t="shared" si="26"/>
        <v>5.0399999999999993E-2</v>
      </c>
      <c r="E42" s="131">
        <f t="shared" si="26"/>
        <v>5.4600000000000003E-2</v>
      </c>
      <c r="G42" s="114">
        <f t="shared" si="19"/>
        <v>5.8800000000000005E-2</v>
      </c>
      <c r="H42" s="5">
        <f t="shared" si="20"/>
        <v>5.0399999999999993E-2</v>
      </c>
      <c r="I42" s="108">
        <f t="shared" si="21"/>
        <v>5.4600000000000003E-2</v>
      </c>
      <c r="K42" s="5"/>
      <c r="L42" s="5"/>
      <c r="M42" s="5"/>
      <c r="O42" s="5"/>
      <c r="P42" s="5"/>
      <c r="Q42" s="5"/>
      <c r="S42" s="5"/>
      <c r="T42" s="5"/>
      <c r="U42" s="5"/>
      <c r="W42" s="5"/>
      <c r="X42" s="5"/>
      <c r="Y42" s="5"/>
      <c r="AC42" s="5"/>
      <c r="AD42" s="5"/>
      <c r="AE42" s="5"/>
      <c r="AG42" s="5"/>
      <c r="AH42" s="5"/>
      <c r="AI42" s="5"/>
      <c r="AK42" s="5"/>
      <c r="AL42" s="5"/>
      <c r="AM42" s="5"/>
      <c r="AO42" s="5"/>
      <c r="AP42" s="5"/>
      <c r="AQ42" s="5"/>
    </row>
    <row r="43" spans="1:43" ht="15" thickBot="1">
      <c r="A43" s="373">
        <v>0.7</v>
      </c>
      <c r="B43" s="128">
        <v>0.4</v>
      </c>
      <c r="C43" s="109">
        <f t="shared" si="27"/>
        <v>7.8399999999999997E-2</v>
      </c>
      <c r="D43" s="110">
        <f t="shared" si="26"/>
        <v>6.7199999999999996E-2</v>
      </c>
      <c r="E43" s="132">
        <f t="shared" si="26"/>
        <v>7.279999999999999E-2</v>
      </c>
      <c r="F43" s="87"/>
      <c r="G43" s="115">
        <f t="shared" si="19"/>
        <v>7.8399999999999997E-2</v>
      </c>
      <c r="H43" s="111">
        <f t="shared" si="20"/>
        <v>6.7199999999999996E-2</v>
      </c>
      <c r="I43" s="112">
        <f t="shared" si="21"/>
        <v>7.279999999999999E-2</v>
      </c>
      <c r="K43" s="5"/>
      <c r="L43" s="5"/>
      <c r="M43" s="5"/>
      <c r="O43" s="5"/>
      <c r="P43" s="5"/>
      <c r="Q43" s="5"/>
      <c r="S43" s="5"/>
      <c r="T43" s="5"/>
      <c r="U43" s="5"/>
      <c r="W43" s="5"/>
      <c r="X43" s="5"/>
      <c r="Y43" s="5"/>
      <c r="AC43" s="5"/>
      <c r="AD43" s="5"/>
      <c r="AE43" s="5"/>
      <c r="AG43" s="5"/>
      <c r="AH43" s="5"/>
      <c r="AI43" s="5"/>
      <c r="AK43" s="5"/>
      <c r="AL43" s="5"/>
      <c r="AM43" s="5"/>
      <c r="AO43" s="5"/>
      <c r="AP43" s="5"/>
      <c r="AQ43" s="5"/>
    </row>
    <row r="44" spans="1:43">
      <c r="A44" s="218">
        <v>0.8</v>
      </c>
      <c r="B44" s="372">
        <v>0</v>
      </c>
      <c r="C44" s="129">
        <f>$A$45*$B44*C$7</f>
        <v>0</v>
      </c>
      <c r="D44" s="124">
        <f t="shared" ref="D44:E48" si="28">$A$45*$B44*D$7</f>
        <v>0</v>
      </c>
      <c r="E44" s="130">
        <f t="shared" si="28"/>
        <v>0</v>
      </c>
      <c r="F44" s="125"/>
      <c r="G44" s="133">
        <f t="shared" si="19"/>
        <v>0</v>
      </c>
      <c r="H44" s="126">
        <f t="shared" si="20"/>
        <v>0</v>
      </c>
      <c r="I44" s="127">
        <f t="shared" si="21"/>
        <v>0</v>
      </c>
      <c r="K44" s="5"/>
      <c r="L44" s="5"/>
      <c r="M44" s="5"/>
      <c r="O44" s="5"/>
      <c r="P44" s="5"/>
      <c r="Q44" s="5"/>
      <c r="S44" s="5"/>
      <c r="T44" s="5"/>
      <c r="U44" s="5"/>
      <c r="W44" s="5"/>
      <c r="X44" s="5"/>
      <c r="Y44" s="5"/>
      <c r="AC44" s="5"/>
      <c r="AD44" s="5"/>
      <c r="AE44" s="5"/>
      <c r="AG44" s="5"/>
      <c r="AH44" s="5"/>
      <c r="AI44" s="5"/>
      <c r="AK44" s="5"/>
      <c r="AL44" s="5"/>
      <c r="AM44" s="5"/>
      <c r="AO44" s="5"/>
      <c r="AP44" s="5"/>
      <c r="AQ44" s="5"/>
    </row>
    <row r="45" spans="1:43">
      <c r="A45" s="219">
        <v>0.8</v>
      </c>
      <c r="B45" s="7">
        <v>0.1</v>
      </c>
      <c r="C45" s="107">
        <f>$A$45*$B45*C$7</f>
        <v>2.2400000000000007E-2</v>
      </c>
      <c r="D45" s="8">
        <f t="shared" si="28"/>
        <v>1.9200000000000002E-2</v>
      </c>
      <c r="E45" s="131">
        <f t="shared" si="28"/>
        <v>2.0800000000000006E-2</v>
      </c>
      <c r="G45" s="114">
        <f t="shared" si="19"/>
        <v>2.2400000000000007E-2</v>
      </c>
      <c r="H45" s="5">
        <f t="shared" si="20"/>
        <v>1.9200000000000002E-2</v>
      </c>
      <c r="I45" s="108">
        <f t="shared" si="21"/>
        <v>2.0800000000000006E-2</v>
      </c>
      <c r="K45" s="5"/>
      <c r="L45" s="5"/>
      <c r="M45" s="5"/>
      <c r="O45" s="5"/>
      <c r="P45" s="5"/>
      <c r="Q45" s="5"/>
      <c r="S45" s="5"/>
      <c r="T45" s="5"/>
      <c r="U45" s="5"/>
      <c r="W45" s="5"/>
      <c r="X45" s="5"/>
      <c r="Y45" s="5"/>
      <c r="AC45" s="5"/>
      <c r="AD45" s="5"/>
      <c r="AE45" s="5"/>
      <c r="AG45" s="5"/>
      <c r="AH45" s="5"/>
      <c r="AI45" s="5"/>
      <c r="AK45" s="5"/>
      <c r="AL45" s="5"/>
      <c r="AM45" s="5"/>
      <c r="AO45" s="5"/>
      <c r="AP45" s="5"/>
      <c r="AQ45" s="5"/>
    </row>
    <row r="46" spans="1:43">
      <c r="A46" s="219">
        <v>0.8</v>
      </c>
      <c r="B46" s="7">
        <v>0.2</v>
      </c>
      <c r="C46" s="107">
        <f t="shared" ref="C46:C48" si="29">$A$45*$B46*C$7</f>
        <v>4.4800000000000013E-2</v>
      </c>
      <c r="D46" s="8">
        <f t="shared" si="28"/>
        <v>3.8400000000000004E-2</v>
      </c>
      <c r="E46" s="131">
        <f t="shared" si="28"/>
        <v>4.1600000000000012E-2</v>
      </c>
      <c r="G46" s="114">
        <f t="shared" si="19"/>
        <v>4.4800000000000013E-2</v>
      </c>
      <c r="H46" s="5">
        <f t="shared" si="20"/>
        <v>3.8400000000000004E-2</v>
      </c>
      <c r="I46" s="108">
        <f t="shared" si="21"/>
        <v>4.1600000000000012E-2</v>
      </c>
      <c r="K46" s="5"/>
      <c r="L46" s="5"/>
      <c r="M46" s="5"/>
      <c r="O46" s="5"/>
      <c r="P46" s="5"/>
      <c r="Q46" s="5"/>
      <c r="S46" s="5"/>
      <c r="T46" s="5"/>
      <c r="U46" s="5"/>
      <c r="W46" s="5"/>
      <c r="X46" s="5"/>
      <c r="Y46" s="5"/>
      <c r="AC46" s="5"/>
      <c r="AD46" s="5"/>
      <c r="AE46" s="5"/>
      <c r="AG46" s="5"/>
      <c r="AH46" s="5"/>
      <c r="AI46" s="5"/>
      <c r="AK46" s="5"/>
      <c r="AL46" s="5"/>
      <c r="AM46" s="5"/>
      <c r="AO46" s="5"/>
      <c r="AP46" s="5"/>
      <c r="AQ46" s="5"/>
    </row>
    <row r="47" spans="1:43">
      <c r="A47" s="219">
        <v>0.8</v>
      </c>
      <c r="B47" s="7">
        <v>0.3</v>
      </c>
      <c r="C47" s="107">
        <f t="shared" si="29"/>
        <v>6.720000000000001E-2</v>
      </c>
      <c r="D47" s="8">
        <f t="shared" si="28"/>
        <v>5.7599999999999998E-2</v>
      </c>
      <c r="E47" s="131">
        <f t="shared" si="28"/>
        <v>6.2399999999999997E-2</v>
      </c>
      <c r="G47" s="114">
        <f t="shared" si="19"/>
        <v>6.720000000000001E-2</v>
      </c>
      <c r="H47" s="5">
        <f t="shared" si="20"/>
        <v>5.7599999999999998E-2</v>
      </c>
      <c r="I47" s="108">
        <f t="shared" si="21"/>
        <v>6.2399999999999997E-2</v>
      </c>
      <c r="K47" s="5"/>
      <c r="L47" s="5"/>
      <c r="M47" s="5"/>
      <c r="O47" s="5"/>
      <c r="P47" s="5"/>
      <c r="Q47" s="5"/>
      <c r="S47" s="5"/>
      <c r="T47" s="5"/>
      <c r="U47" s="5"/>
      <c r="W47" s="5"/>
      <c r="X47" s="5"/>
      <c r="Y47" s="5"/>
      <c r="AC47" s="5"/>
      <c r="AD47" s="5"/>
      <c r="AE47" s="5"/>
      <c r="AG47" s="5"/>
      <c r="AH47" s="5"/>
      <c r="AI47" s="5"/>
      <c r="AK47" s="5"/>
      <c r="AL47" s="5"/>
      <c r="AM47" s="5"/>
      <c r="AO47" s="5"/>
      <c r="AP47" s="5"/>
      <c r="AQ47" s="5"/>
    </row>
    <row r="48" spans="1:43" ht="15" thickBot="1">
      <c r="A48" s="373">
        <v>0.8</v>
      </c>
      <c r="B48" s="128">
        <v>0.4</v>
      </c>
      <c r="C48" s="109">
        <f t="shared" si="29"/>
        <v>8.9600000000000027E-2</v>
      </c>
      <c r="D48" s="110">
        <f t="shared" si="28"/>
        <v>7.6800000000000007E-2</v>
      </c>
      <c r="E48" s="132">
        <f t="shared" si="28"/>
        <v>8.3200000000000024E-2</v>
      </c>
      <c r="F48" s="87"/>
      <c r="G48" s="115">
        <f t="shared" si="19"/>
        <v>8.9600000000000027E-2</v>
      </c>
      <c r="H48" s="111">
        <f t="shared" si="20"/>
        <v>7.6800000000000007E-2</v>
      </c>
      <c r="I48" s="112">
        <f t="shared" si="21"/>
        <v>8.3200000000000024E-2</v>
      </c>
      <c r="K48" s="5"/>
      <c r="L48" s="5"/>
      <c r="M48" s="5"/>
      <c r="O48" s="5"/>
      <c r="P48" s="5"/>
      <c r="Q48" s="5"/>
      <c r="S48" s="5"/>
      <c r="T48" s="5"/>
      <c r="U48" s="5"/>
      <c r="W48" s="5"/>
      <c r="X48" s="5"/>
      <c r="Y48" s="5"/>
      <c r="AC48" s="5"/>
      <c r="AD48" s="5"/>
      <c r="AE48" s="5"/>
      <c r="AG48" s="5"/>
      <c r="AH48" s="5"/>
      <c r="AI48" s="5"/>
      <c r="AK48" s="5"/>
      <c r="AL48" s="5"/>
      <c r="AM48" s="5"/>
      <c r="AO48" s="5"/>
      <c r="AP48" s="5"/>
      <c r="AQ48" s="5"/>
    </row>
    <row r="49" spans="1:43">
      <c r="A49" s="218">
        <v>0.9</v>
      </c>
      <c r="B49" s="372">
        <v>0</v>
      </c>
      <c r="C49" s="129">
        <f>$A$50*$B49*C$7</f>
        <v>0</v>
      </c>
      <c r="D49" s="124">
        <f t="shared" ref="D49:E53" si="30">$A$50*$B49*D$7</f>
        <v>0</v>
      </c>
      <c r="E49" s="130">
        <f t="shared" si="30"/>
        <v>0</v>
      </c>
      <c r="F49" s="125"/>
      <c r="G49" s="133">
        <f t="shared" si="19"/>
        <v>0</v>
      </c>
      <c r="H49" s="126">
        <f t="shared" si="20"/>
        <v>0</v>
      </c>
      <c r="I49" s="127">
        <f t="shared" si="21"/>
        <v>0</v>
      </c>
      <c r="K49" s="5"/>
      <c r="L49" s="5"/>
      <c r="M49" s="5"/>
      <c r="O49" s="5"/>
      <c r="P49" s="5"/>
      <c r="Q49" s="5"/>
      <c r="S49" s="5"/>
      <c r="T49" s="5"/>
      <c r="U49" s="5"/>
      <c r="W49" s="5"/>
      <c r="X49" s="5"/>
      <c r="Y49" s="5"/>
      <c r="AC49" s="5"/>
      <c r="AD49" s="5"/>
      <c r="AE49" s="5"/>
      <c r="AG49" s="5"/>
      <c r="AH49" s="5"/>
      <c r="AI49" s="5"/>
      <c r="AK49" s="5"/>
      <c r="AL49" s="5"/>
      <c r="AM49" s="5"/>
      <c r="AO49" s="5"/>
      <c r="AP49" s="5"/>
      <c r="AQ49" s="5"/>
    </row>
    <row r="50" spans="1:43">
      <c r="A50" s="219">
        <v>0.9</v>
      </c>
      <c r="B50" s="7">
        <v>0.1</v>
      </c>
      <c r="C50" s="107">
        <f>$A$50*$B50*C$7</f>
        <v>2.5200000000000004E-2</v>
      </c>
      <c r="D50" s="8">
        <f t="shared" si="30"/>
        <v>2.1600000000000001E-2</v>
      </c>
      <c r="E50" s="131">
        <f t="shared" si="30"/>
        <v>2.3400000000000004E-2</v>
      </c>
      <c r="G50" s="114">
        <f t="shared" si="19"/>
        <v>2.5200000000000004E-2</v>
      </c>
      <c r="H50" s="5">
        <f t="shared" si="20"/>
        <v>2.1600000000000001E-2</v>
      </c>
      <c r="I50" s="108">
        <f t="shared" si="21"/>
        <v>2.3400000000000004E-2</v>
      </c>
      <c r="K50" s="5"/>
      <c r="L50" s="5"/>
      <c r="M50" s="5"/>
      <c r="O50" s="5"/>
      <c r="P50" s="5"/>
      <c r="Q50" s="5"/>
      <c r="S50" s="5"/>
      <c r="T50" s="5"/>
      <c r="U50" s="5"/>
      <c r="W50" s="5"/>
      <c r="X50" s="5"/>
      <c r="Y50" s="5"/>
      <c r="AC50" s="5"/>
      <c r="AD50" s="5"/>
      <c r="AE50" s="5"/>
      <c r="AG50" s="5"/>
      <c r="AH50" s="5"/>
      <c r="AI50" s="5"/>
      <c r="AK50" s="5"/>
      <c r="AL50" s="5"/>
      <c r="AM50" s="5"/>
      <c r="AO50" s="5"/>
      <c r="AP50" s="5"/>
      <c r="AQ50" s="5"/>
    </row>
    <row r="51" spans="1:43">
      <c r="A51" s="219">
        <v>0.9</v>
      </c>
      <c r="B51" s="7">
        <v>0.2</v>
      </c>
      <c r="C51" s="107">
        <f t="shared" ref="C51:C53" si="31">$A$50*$B51*C$7</f>
        <v>5.0400000000000007E-2</v>
      </c>
      <c r="D51" s="8">
        <f t="shared" si="30"/>
        <v>4.3200000000000002E-2</v>
      </c>
      <c r="E51" s="131">
        <f t="shared" si="30"/>
        <v>4.6800000000000008E-2</v>
      </c>
      <c r="G51" s="114">
        <f t="shared" si="19"/>
        <v>5.0400000000000007E-2</v>
      </c>
      <c r="H51" s="5">
        <f t="shared" si="20"/>
        <v>4.3200000000000002E-2</v>
      </c>
      <c r="I51" s="108">
        <f t="shared" si="21"/>
        <v>4.6800000000000008E-2</v>
      </c>
      <c r="K51" s="5"/>
      <c r="L51" s="5"/>
      <c r="M51" s="5"/>
      <c r="O51" s="5"/>
      <c r="P51" s="5"/>
      <c r="Q51" s="5"/>
      <c r="S51" s="5"/>
      <c r="T51" s="5"/>
      <c r="U51" s="5"/>
      <c r="W51" s="5"/>
      <c r="X51" s="5"/>
      <c r="Y51" s="5"/>
      <c r="AC51" s="5"/>
      <c r="AD51" s="5"/>
      <c r="AE51" s="5"/>
      <c r="AG51" s="5"/>
      <c r="AH51" s="5"/>
      <c r="AI51" s="5"/>
      <c r="AK51" s="5"/>
      <c r="AL51" s="5"/>
      <c r="AM51" s="5"/>
      <c r="AO51" s="5"/>
      <c r="AP51" s="5"/>
      <c r="AQ51" s="5"/>
    </row>
    <row r="52" spans="1:43">
      <c r="A52" s="219">
        <v>0.9</v>
      </c>
      <c r="B52" s="7">
        <v>0.3</v>
      </c>
      <c r="C52" s="107">
        <f t="shared" si="31"/>
        <v>7.5600000000000014E-2</v>
      </c>
      <c r="D52" s="8">
        <f t="shared" si="30"/>
        <v>6.4799999999999996E-2</v>
      </c>
      <c r="E52" s="131">
        <f t="shared" si="30"/>
        <v>7.0200000000000012E-2</v>
      </c>
      <c r="G52" s="114">
        <f t="shared" si="19"/>
        <v>7.5600000000000014E-2</v>
      </c>
      <c r="H52" s="5">
        <f t="shared" si="20"/>
        <v>6.4799999999999996E-2</v>
      </c>
      <c r="I52" s="108">
        <f t="shared" si="21"/>
        <v>7.0200000000000012E-2</v>
      </c>
      <c r="K52" s="5"/>
      <c r="L52" s="5"/>
      <c r="M52" s="5"/>
      <c r="O52" s="5"/>
      <c r="P52" s="5"/>
      <c r="Q52" s="5"/>
      <c r="S52" s="5"/>
      <c r="T52" s="5"/>
      <c r="U52" s="5"/>
      <c r="W52" s="5"/>
      <c r="X52" s="5"/>
      <c r="Y52" s="5"/>
      <c r="AC52" s="5"/>
      <c r="AD52" s="5"/>
      <c r="AE52" s="5"/>
      <c r="AG52" s="5"/>
      <c r="AH52" s="5"/>
      <c r="AI52" s="5"/>
      <c r="AK52" s="5"/>
      <c r="AL52" s="5"/>
      <c r="AM52" s="5"/>
      <c r="AO52" s="5"/>
      <c r="AP52" s="5"/>
      <c r="AQ52" s="5"/>
    </row>
    <row r="53" spans="1:43" ht="15" thickBot="1">
      <c r="A53" s="373">
        <v>0.9</v>
      </c>
      <c r="B53" s="128">
        <v>0.4</v>
      </c>
      <c r="C53" s="109">
        <f t="shared" si="31"/>
        <v>0.10080000000000001</v>
      </c>
      <c r="D53" s="110">
        <f t="shared" si="30"/>
        <v>8.6400000000000005E-2</v>
      </c>
      <c r="E53" s="132">
        <f t="shared" si="30"/>
        <v>9.3600000000000017E-2</v>
      </c>
      <c r="F53" s="87"/>
      <c r="G53" s="115">
        <f t="shared" si="19"/>
        <v>0.10080000000000001</v>
      </c>
      <c r="H53" s="111">
        <f t="shared" si="20"/>
        <v>8.6400000000000005E-2</v>
      </c>
      <c r="I53" s="112">
        <f t="shared" si="21"/>
        <v>9.3600000000000017E-2</v>
      </c>
      <c r="K53" s="5"/>
      <c r="L53" s="5"/>
      <c r="M53" s="5"/>
      <c r="O53" s="5"/>
      <c r="P53" s="5"/>
      <c r="Q53" s="5"/>
      <c r="S53" s="5"/>
      <c r="T53" s="5"/>
      <c r="U53" s="5"/>
      <c r="W53" s="5"/>
      <c r="X53" s="5"/>
      <c r="Y53" s="5"/>
      <c r="AC53" s="5"/>
      <c r="AD53" s="5"/>
      <c r="AE53" s="5"/>
      <c r="AG53" s="5"/>
      <c r="AH53" s="5"/>
      <c r="AI53" s="5"/>
      <c r="AK53" s="5"/>
      <c r="AL53" s="5"/>
      <c r="AM53" s="5"/>
      <c r="AO53" s="5"/>
      <c r="AP53" s="5"/>
      <c r="AQ53" s="5"/>
    </row>
    <row r="56" spans="1:43">
      <c r="H56" s="11"/>
    </row>
    <row r="57" spans="1:43">
      <c r="H57" s="11"/>
    </row>
  </sheetData>
  <mergeCells count="9">
    <mergeCell ref="B5:B7"/>
    <mergeCell ref="A5:A7"/>
    <mergeCell ref="G1:U1"/>
    <mergeCell ref="C5:E5"/>
    <mergeCell ref="C8:E8"/>
    <mergeCell ref="G8:I8"/>
    <mergeCell ref="G3:I3"/>
    <mergeCell ref="G4:I4"/>
    <mergeCell ref="G5:I5"/>
  </mergeCells>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1"/>
  <dimension ref="A1:AY53"/>
  <sheetViews>
    <sheetView showGridLines="0" topLeftCell="A4" zoomScale="55" zoomScaleNormal="55" workbookViewId="0">
      <selection activeCell="R56" sqref="R56"/>
    </sheetView>
  </sheetViews>
  <sheetFormatPr defaultRowHeight="14.5"/>
  <cols>
    <col min="1" max="1" width="21.6328125" customWidth="1"/>
    <col min="2" max="2" width="12.6328125" customWidth="1"/>
    <col min="3" max="3" width="10.08984375" customWidth="1"/>
    <col min="6" max="6" width="10.453125" customWidth="1"/>
    <col min="7" max="7" width="7.81640625" customWidth="1"/>
    <col min="8" max="8" width="7.6328125" customWidth="1"/>
    <col min="9" max="9" width="6.90625" customWidth="1"/>
    <col min="10" max="10" width="10.36328125" customWidth="1"/>
    <col min="11" max="11" width="7.6328125" customWidth="1"/>
    <col min="12" max="16" width="6.6328125" customWidth="1"/>
    <col min="17" max="17" width="7.36328125" customWidth="1"/>
    <col min="18" max="26" width="6.6328125" customWidth="1"/>
  </cols>
  <sheetData>
    <row r="1" spans="1:51" ht="17.5" customHeight="1">
      <c r="A1" s="751" t="s">
        <v>154</v>
      </c>
      <c r="B1" s="751"/>
      <c r="C1" s="751"/>
      <c r="D1" s="751"/>
      <c r="E1" s="751"/>
      <c r="F1" s="239"/>
      <c r="G1" s="741"/>
      <c r="H1" s="741"/>
      <c r="I1" s="741"/>
      <c r="J1" s="741"/>
      <c r="K1" s="741"/>
      <c r="L1" s="741"/>
      <c r="M1" s="741"/>
      <c r="N1" s="741"/>
      <c r="O1" s="741"/>
      <c r="P1" s="741"/>
      <c r="Q1" s="741"/>
      <c r="R1" s="741"/>
      <c r="S1" s="741"/>
      <c r="T1" s="741"/>
      <c r="U1" s="741"/>
      <c r="V1" s="741"/>
      <c r="W1" s="741"/>
      <c r="X1" s="741"/>
      <c r="Y1" s="741"/>
      <c r="Z1" s="741"/>
      <c r="AC1" s="152"/>
      <c r="AD1" s="152"/>
      <c r="AE1" s="152"/>
      <c r="AF1" s="152"/>
      <c r="AG1" s="152"/>
      <c r="AH1" s="152"/>
      <c r="AI1" s="152"/>
      <c r="AJ1" s="152"/>
      <c r="AK1" s="152"/>
      <c r="AL1" s="152"/>
      <c r="AM1" s="152"/>
      <c r="AN1" s="152"/>
      <c r="AO1" s="152"/>
      <c r="AP1" s="152"/>
      <c r="AQ1" s="152"/>
      <c r="AR1" s="152"/>
      <c r="AS1" s="152"/>
      <c r="AT1" s="152"/>
      <c r="AU1" s="152"/>
      <c r="AV1" s="152"/>
      <c r="AW1" s="152"/>
      <c r="AX1" s="152"/>
      <c r="AY1" s="152"/>
    </row>
    <row r="2" spans="1:51" ht="17.5" customHeight="1">
      <c r="A2" s="751"/>
      <c r="B2" s="751"/>
      <c r="C2" s="751"/>
      <c r="D2" s="751"/>
      <c r="E2" s="751"/>
      <c r="R2" s="113"/>
      <c r="S2" s="104"/>
      <c r="T2" s="104"/>
      <c r="U2" s="104"/>
      <c r="V2" s="104"/>
      <c r="W2" s="104"/>
      <c r="X2" s="104"/>
      <c r="Y2" s="104"/>
      <c r="Z2" s="104"/>
      <c r="AN2" s="113"/>
      <c r="AO2" s="104"/>
      <c r="AP2" s="104"/>
      <c r="AQ2" s="104"/>
      <c r="AR2" s="104"/>
      <c r="AS2" s="104"/>
      <c r="AT2" s="104"/>
      <c r="AU2" s="104"/>
      <c r="AV2" s="104"/>
      <c r="AW2" s="104"/>
      <c r="AX2" s="104"/>
      <c r="AY2" s="104"/>
    </row>
    <row r="3" spans="1:51" ht="52.5" customHeight="1">
      <c r="A3" s="1"/>
      <c r="C3" s="6"/>
      <c r="D3" s="6"/>
      <c r="E3" s="6"/>
      <c r="G3" s="710"/>
      <c r="H3" s="710"/>
      <c r="I3" s="710"/>
      <c r="J3" s="6"/>
      <c r="K3" s="7"/>
      <c r="L3" s="7"/>
      <c r="M3" s="7"/>
      <c r="O3" s="7"/>
      <c r="P3" s="7"/>
      <c r="Q3" s="7"/>
      <c r="S3" s="7"/>
      <c r="T3" s="7"/>
      <c r="U3" s="7"/>
      <c r="W3" s="7"/>
      <c r="X3" s="7"/>
      <c r="Y3" s="7"/>
      <c r="AC3" s="6"/>
      <c r="AD3" s="6"/>
      <c r="AE3" s="6"/>
      <c r="AF3" s="6"/>
      <c r="AG3" s="7"/>
      <c r="AH3" s="7"/>
      <c r="AI3" s="7"/>
      <c r="AK3" s="7"/>
      <c r="AL3" s="7"/>
      <c r="AM3" s="7"/>
      <c r="AO3" s="7"/>
      <c r="AP3" s="7"/>
      <c r="AQ3" s="7"/>
      <c r="AS3" s="7"/>
      <c r="AT3" s="7"/>
      <c r="AU3" s="7"/>
      <c r="AW3" s="7"/>
      <c r="AX3" s="7"/>
      <c r="AY3" s="7"/>
    </row>
    <row r="4" spans="1:51" ht="15" thickBot="1">
      <c r="A4" s="752" t="s">
        <v>5</v>
      </c>
      <c r="B4" s="710" t="s">
        <v>162</v>
      </c>
      <c r="C4" s="6"/>
      <c r="D4" s="6"/>
      <c r="E4" s="6"/>
      <c r="G4" s="583"/>
      <c r="H4" s="583"/>
      <c r="I4" s="583"/>
      <c r="K4" s="122"/>
      <c r="L4" s="122"/>
      <c r="M4" s="122"/>
      <c r="O4" s="122"/>
      <c r="P4" s="122"/>
      <c r="Q4" s="122"/>
      <c r="S4" s="122"/>
      <c r="T4" s="122"/>
      <c r="U4" s="122"/>
      <c r="W4" s="122"/>
      <c r="X4" s="122"/>
      <c r="Y4" s="122"/>
      <c r="AG4" s="122"/>
      <c r="AH4" s="122"/>
      <c r="AI4" s="122"/>
      <c r="AK4" s="122"/>
      <c r="AL4" s="122"/>
      <c r="AM4" s="122"/>
      <c r="AO4" s="122"/>
      <c r="AP4" s="122"/>
      <c r="AQ4" s="122"/>
      <c r="AS4" s="122"/>
      <c r="AT4" s="122"/>
      <c r="AU4" s="122"/>
      <c r="AW4" s="122"/>
      <c r="AX4" s="122"/>
      <c r="AY4" s="122"/>
    </row>
    <row r="5" spans="1:51" ht="41.5" customHeight="1">
      <c r="A5" s="752"/>
      <c r="B5" s="710"/>
      <c r="C5" s="742" t="s">
        <v>10</v>
      </c>
      <c r="D5" s="743"/>
      <c r="E5" s="744"/>
      <c r="G5" s="742" t="s">
        <v>10</v>
      </c>
      <c r="H5" s="743"/>
      <c r="I5" s="744"/>
      <c r="J5" s="6"/>
      <c r="K5" s="6"/>
      <c r="L5" s="6"/>
      <c r="M5" s="6"/>
      <c r="O5" s="6"/>
      <c r="P5" s="6"/>
      <c r="Q5" s="6"/>
      <c r="S5" s="6"/>
      <c r="T5" s="6"/>
      <c r="U5" s="6"/>
      <c r="W5" s="6"/>
      <c r="X5" s="6"/>
      <c r="Y5" s="6"/>
      <c r="AC5" s="6"/>
      <c r="AD5" s="6"/>
      <c r="AE5" s="6"/>
      <c r="AF5" s="6"/>
      <c r="AG5" s="6"/>
      <c r="AH5" s="6"/>
      <c r="AI5" s="6"/>
      <c r="AK5" s="6"/>
      <c r="AL5" s="6"/>
      <c r="AM5" s="6"/>
      <c r="AO5" s="6"/>
      <c r="AP5" s="6"/>
      <c r="AQ5" s="6"/>
      <c r="AS5" s="6"/>
      <c r="AT5" s="6"/>
      <c r="AU5" s="6"/>
      <c r="AW5" s="6"/>
      <c r="AX5" s="6"/>
      <c r="AY5" s="6"/>
    </row>
    <row r="6" spans="1:51" ht="41.5" customHeight="1">
      <c r="A6" s="752"/>
      <c r="B6" s="710"/>
      <c r="C6" s="351" t="s">
        <v>140</v>
      </c>
      <c r="D6" s="9" t="s">
        <v>1</v>
      </c>
      <c r="E6" s="352" t="s">
        <v>2</v>
      </c>
      <c r="G6" s="351" t="s">
        <v>140</v>
      </c>
      <c r="H6" s="9" t="s">
        <v>1</v>
      </c>
      <c r="I6" s="352" t="s">
        <v>2</v>
      </c>
      <c r="J6" s="6"/>
      <c r="K6" s="9"/>
      <c r="L6" s="9"/>
      <c r="M6" s="9"/>
      <c r="O6" s="9"/>
      <c r="P6" s="9"/>
      <c r="Q6" s="9"/>
      <c r="S6" s="9"/>
      <c r="T6" s="9"/>
      <c r="U6" s="9"/>
      <c r="W6" s="9"/>
      <c r="X6" s="9"/>
      <c r="Y6" s="9"/>
      <c r="AC6" s="9"/>
      <c r="AD6" s="9"/>
      <c r="AE6" s="9"/>
      <c r="AF6" s="6"/>
      <c r="AG6" s="9"/>
      <c r="AH6" s="9"/>
      <c r="AI6" s="9"/>
      <c r="AK6" s="9"/>
      <c r="AL6" s="9"/>
      <c r="AM6" s="9"/>
      <c r="AO6" s="9"/>
      <c r="AP6" s="9"/>
      <c r="AQ6" s="9"/>
      <c r="AS6" s="9"/>
      <c r="AT6" s="9"/>
      <c r="AU6" s="9"/>
      <c r="AW6" s="9"/>
      <c r="AX6" s="9"/>
      <c r="AY6" s="9"/>
    </row>
    <row r="7" spans="1:51">
      <c r="A7" s="752"/>
      <c r="B7" s="710"/>
      <c r="C7" s="567">
        <f>IF('Configuration Settings'!H13&gt;0,'Configuration Settings'!H13,'Configuration Settings'!J13)</f>
        <v>7.0000000000000007E-2</v>
      </c>
      <c r="D7" s="563">
        <f>IF('Configuration Settings'!H14&gt;0,'Configuration Settings'!H14,'Configuration Settings'!J14)</f>
        <v>0.08</v>
      </c>
      <c r="E7" s="568">
        <f>IF('Configuration Settings'!H15&gt;0,'Configuration Settings'!H15,'Configuration Settings'!J15)</f>
        <v>0.1</v>
      </c>
      <c r="G7" s="567">
        <f>C7</f>
        <v>7.0000000000000007E-2</v>
      </c>
      <c r="H7" s="566">
        <f t="shared" ref="H7:I7" si="0">D7</f>
        <v>0.08</v>
      </c>
      <c r="I7" s="568">
        <f t="shared" si="0"/>
        <v>0.1</v>
      </c>
      <c r="K7" s="7"/>
      <c r="L7" s="10"/>
      <c r="M7" s="7"/>
      <c r="O7" s="7"/>
      <c r="P7" s="10"/>
      <c r="Q7" s="7"/>
      <c r="S7" s="7"/>
      <c r="T7" s="10"/>
      <c r="U7" s="7"/>
      <c r="W7" s="7"/>
      <c r="X7" s="10"/>
      <c r="Y7" s="7"/>
      <c r="AC7" s="7"/>
      <c r="AD7" s="10"/>
      <c r="AE7" s="7"/>
      <c r="AG7" s="7"/>
      <c r="AH7" s="10"/>
      <c r="AI7" s="7"/>
      <c r="AK7" s="7"/>
      <c r="AL7" s="10"/>
      <c r="AM7" s="7"/>
      <c r="AO7" s="7"/>
      <c r="AP7" s="10"/>
      <c r="AQ7" s="7"/>
      <c r="AS7" s="7"/>
      <c r="AT7" s="10"/>
      <c r="AU7" s="7"/>
      <c r="AW7" s="7"/>
      <c r="AX7" s="10"/>
      <c r="AY7" s="7"/>
    </row>
    <row r="8" spans="1:51" ht="15" thickBot="1">
      <c r="A8" s="134"/>
      <c r="B8" s="9"/>
      <c r="C8" s="745" t="s">
        <v>4</v>
      </c>
      <c r="D8" s="746"/>
      <c r="E8" s="747"/>
      <c r="G8" s="748" t="s">
        <v>142</v>
      </c>
      <c r="H8" s="749"/>
      <c r="I8" s="750"/>
      <c r="K8" s="236"/>
      <c r="L8" s="236"/>
      <c r="M8" s="236"/>
      <c r="O8" s="236"/>
      <c r="P8" s="236"/>
      <c r="Q8" s="236"/>
      <c r="S8" s="236"/>
      <c r="T8" s="236"/>
      <c r="U8" s="236"/>
      <c r="W8" s="236"/>
      <c r="X8" s="236"/>
      <c r="Y8" s="236"/>
      <c r="AC8" s="7"/>
      <c r="AD8" s="10"/>
      <c r="AE8" s="7"/>
      <c r="AG8" s="7"/>
      <c r="AH8" s="10"/>
      <c r="AI8" s="7"/>
      <c r="AK8" s="7"/>
      <c r="AL8" s="10"/>
      <c r="AM8" s="7"/>
      <c r="AO8" s="7"/>
      <c r="AP8" s="10"/>
      <c r="AQ8" s="7"/>
      <c r="AS8" s="7"/>
      <c r="AT8" s="10"/>
      <c r="AU8" s="7"/>
      <c r="AW8" s="7"/>
      <c r="AX8" s="10"/>
      <c r="AY8" s="7"/>
    </row>
    <row r="9" spans="1:51">
      <c r="A9" s="218">
        <v>0.1</v>
      </c>
      <c r="B9" s="372">
        <v>0</v>
      </c>
      <c r="C9" s="129">
        <f t="shared" ref="C9:E10" si="1">$A$10*$B9*C$7</f>
        <v>0</v>
      </c>
      <c r="D9" s="124">
        <f t="shared" si="1"/>
        <v>0</v>
      </c>
      <c r="E9" s="130">
        <f t="shared" si="1"/>
        <v>0</v>
      </c>
      <c r="F9" s="125"/>
      <c r="G9" s="133">
        <f t="shared" ref="G9:I10" si="2">C9</f>
        <v>0</v>
      </c>
      <c r="H9" s="126">
        <f t="shared" si="2"/>
        <v>0</v>
      </c>
      <c r="I9" s="127">
        <f t="shared" si="2"/>
        <v>0</v>
      </c>
      <c r="K9" s="500"/>
      <c r="L9" s="500"/>
      <c r="M9" s="500"/>
      <c r="O9" s="500"/>
      <c r="P9" s="500"/>
      <c r="Q9" s="500"/>
      <c r="S9" s="500"/>
      <c r="T9" s="500"/>
      <c r="U9" s="500"/>
      <c r="W9" s="500"/>
      <c r="X9" s="500"/>
      <c r="Y9" s="500"/>
      <c r="AC9" s="7"/>
      <c r="AD9" s="10"/>
      <c r="AE9" s="7"/>
      <c r="AG9" s="7"/>
      <c r="AH9" s="10"/>
      <c r="AI9" s="7"/>
      <c r="AK9" s="7"/>
      <c r="AL9" s="10"/>
      <c r="AM9" s="7"/>
      <c r="AO9" s="7"/>
      <c r="AP9" s="10"/>
      <c r="AQ9" s="7"/>
      <c r="AS9" s="7"/>
      <c r="AT9" s="10"/>
      <c r="AU9" s="7"/>
      <c r="AW9" s="7"/>
      <c r="AX9" s="10"/>
      <c r="AY9" s="7"/>
    </row>
    <row r="10" spans="1:51">
      <c r="A10" s="219">
        <v>0.1</v>
      </c>
      <c r="B10" s="7">
        <v>0.1</v>
      </c>
      <c r="C10" s="107">
        <f t="shared" si="1"/>
        <v>7.0000000000000021E-4</v>
      </c>
      <c r="D10" s="8">
        <f t="shared" si="1"/>
        <v>8.0000000000000015E-4</v>
      </c>
      <c r="E10" s="131">
        <f t="shared" si="1"/>
        <v>1.0000000000000002E-3</v>
      </c>
      <c r="G10" s="114">
        <f t="shared" si="2"/>
        <v>7.0000000000000021E-4</v>
      </c>
      <c r="H10" s="5">
        <f t="shared" si="2"/>
        <v>8.0000000000000015E-4</v>
      </c>
      <c r="I10" s="108">
        <f t="shared" si="2"/>
        <v>1.0000000000000002E-3</v>
      </c>
      <c r="K10" s="5"/>
      <c r="L10" s="5"/>
      <c r="M10" s="5"/>
      <c r="O10" s="5"/>
      <c r="P10" s="5"/>
      <c r="Q10" s="5"/>
      <c r="S10" s="5"/>
      <c r="T10" s="5"/>
      <c r="U10" s="5"/>
      <c r="W10" s="5"/>
      <c r="X10" s="5"/>
      <c r="Y10" s="5"/>
      <c r="AC10" s="5"/>
      <c r="AD10" s="5"/>
      <c r="AE10" s="5"/>
      <c r="AG10" s="5"/>
      <c r="AH10" s="5"/>
      <c r="AI10" s="5"/>
      <c r="AK10" s="5"/>
      <c r="AL10" s="5"/>
      <c r="AM10" s="5"/>
      <c r="AO10" s="5"/>
      <c r="AP10" s="5"/>
      <c r="AQ10" s="5"/>
      <c r="AS10" s="5"/>
      <c r="AT10" s="5"/>
      <c r="AU10" s="5"/>
      <c r="AW10" s="5"/>
      <c r="AX10" s="5"/>
      <c r="AY10" s="5"/>
    </row>
    <row r="11" spans="1:51">
      <c r="A11" s="219">
        <v>0.1</v>
      </c>
      <c r="B11" s="7">
        <v>0.2</v>
      </c>
      <c r="C11" s="107">
        <f t="shared" ref="C11:E13" si="3">$A$10*$B11*C$7</f>
        <v>1.4000000000000004E-3</v>
      </c>
      <c r="D11" s="8">
        <f t="shared" si="3"/>
        <v>1.6000000000000003E-3</v>
      </c>
      <c r="E11" s="131">
        <f t="shared" si="3"/>
        <v>2.0000000000000005E-3</v>
      </c>
      <c r="G11" s="114">
        <f t="shared" ref="G11:G53" si="4">C11</f>
        <v>1.4000000000000004E-3</v>
      </c>
      <c r="H11" s="5">
        <f t="shared" ref="H11:H53" si="5">D11</f>
        <v>1.6000000000000003E-3</v>
      </c>
      <c r="I11" s="108">
        <f t="shared" ref="I11:I53" si="6">E11</f>
        <v>2.0000000000000005E-3</v>
      </c>
      <c r="K11" s="5"/>
      <c r="L11" s="5"/>
      <c r="M11" s="5"/>
      <c r="O11" s="5"/>
      <c r="P11" s="5"/>
      <c r="Q11" s="5"/>
      <c r="S11" s="5"/>
      <c r="T11" s="5"/>
      <c r="U11" s="5"/>
      <c r="W11" s="5"/>
      <c r="X11" s="5"/>
      <c r="Y11" s="5"/>
      <c r="AC11" s="5"/>
      <c r="AD11" s="5"/>
      <c r="AE11" s="5"/>
      <c r="AG11" s="5"/>
      <c r="AH11" s="5"/>
      <c r="AI11" s="5"/>
      <c r="AK11" s="5"/>
      <c r="AL11" s="5"/>
      <c r="AM11" s="5"/>
      <c r="AO11" s="5"/>
      <c r="AP11" s="5"/>
      <c r="AQ11" s="5"/>
      <c r="AS11" s="5"/>
      <c r="AT11" s="5"/>
      <c r="AU11" s="5"/>
      <c r="AW11" s="5"/>
      <c r="AX11" s="5"/>
      <c r="AY11" s="5"/>
    </row>
    <row r="12" spans="1:51">
      <c r="A12" s="219">
        <v>0.1</v>
      </c>
      <c r="B12" s="7">
        <v>0.3</v>
      </c>
      <c r="C12" s="107">
        <f t="shared" si="3"/>
        <v>2.1000000000000003E-3</v>
      </c>
      <c r="D12" s="8">
        <f t="shared" si="3"/>
        <v>2.3999999999999998E-3</v>
      </c>
      <c r="E12" s="131">
        <f t="shared" si="3"/>
        <v>3.0000000000000001E-3</v>
      </c>
      <c r="G12" s="114">
        <f t="shared" si="4"/>
        <v>2.1000000000000003E-3</v>
      </c>
      <c r="H12" s="5">
        <f t="shared" si="5"/>
        <v>2.3999999999999998E-3</v>
      </c>
      <c r="I12" s="108">
        <f t="shared" si="6"/>
        <v>3.0000000000000001E-3</v>
      </c>
      <c r="K12" s="5"/>
      <c r="L12" s="5"/>
      <c r="M12" s="5"/>
      <c r="O12" s="5"/>
      <c r="P12" s="5"/>
      <c r="Q12" s="5"/>
      <c r="S12" s="5"/>
      <c r="T12" s="5"/>
      <c r="U12" s="5"/>
      <c r="W12" s="5"/>
      <c r="X12" s="5"/>
      <c r="Y12" s="5"/>
      <c r="AC12" s="5"/>
      <c r="AD12" s="5"/>
      <c r="AE12" s="5"/>
      <c r="AG12" s="5"/>
      <c r="AH12" s="5"/>
      <c r="AI12" s="5"/>
      <c r="AK12" s="5"/>
      <c r="AL12" s="5"/>
      <c r="AM12" s="5"/>
      <c r="AO12" s="5"/>
      <c r="AP12" s="5"/>
      <c r="AQ12" s="5"/>
      <c r="AS12" s="5"/>
      <c r="AT12" s="5"/>
      <c r="AU12" s="5"/>
      <c r="AW12" s="5"/>
      <c r="AX12" s="5"/>
      <c r="AY12" s="5"/>
    </row>
    <row r="13" spans="1:51" ht="15" thickBot="1">
      <c r="A13" s="373">
        <v>0.1</v>
      </c>
      <c r="B13" s="128">
        <v>0.4</v>
      </c>
      <c r="C13" s="109">
        <f t="shared" si="3"/>
        <v>2.8000000000000008E-3</v>
      </c>
      <c r="D13" s="110">
        <f t="shared" si="3"/>
        <v>3.2000000000000006E-3</v>
      </c>
      <c r="E13" s="132">
        <f t="shared" si="3"/>
        <v>4.000000000000001E-3</v>
      </c>
      <c r="F13" s="87"/>
      <c r="G13" s="115">
        <f t="shared" si="4"/>
        <v>2.8000000000000008E-3</v>
      </c>
      <c r="H13" s="111">
        <f t="shared" si="5"/>
        <v>3.2000000000000006E-3</v>
      </c>
      <c r="I13" s="112">
        <f t="shared" si="6"/>
        <v>4.000000000000001E-3</v>
      </c>
      <c r="K13" s="5"/>
      <c r="L13" s="5"/>
      <c r="M13" s="5"/>
      <c r="O13" s="5"/>
      <c r="P13" s="5"/>
      <c r="Q13" s="5"/>
      <c r="S13" s="5"/>
      <c r="T13" s="5"/>
      <c r="U13" s="5"/>
      <c r="W13" s="5"/>
      <c r="X13" s="5"/>
      <c r="Y13" s="5"/>
      <c r="AC13" s="5"/>
      <c r="AD13" s="5"/>
      <c r="AE13" s="5"/>
      <c r="AG13" s="5"/>
      <c r="AH13" s="5"/>
      <c r="AI13" s="5"/>
      <c r="AK13" s="5"/>
      <c r="AL13" s="5"/>
      <c r="AM13" s="5"/>
      <c r="AO13" s="5"/>
      <c r="AP13" s="5"/>
      <c r="AQ13" s="5"/>
      <c r="AS13" s="5"/>
      <c r="AT13" s="5"/>
      <c r="AU13" s="5"/>
      <c r="AW13" s="5"/>
      <c r="AX13" s="5"/>
      <c r="AY13" s="5"/>
    </row>
    <row r="14" spans="1:51">
      <c r="A14" s="218">
        <v>0.2</v>
      </c>
      <c r="B14" s="372">
        <v>0</v>
      </c>
      <c r="C14" s="129">
        <f>$A$10*$B14*C$7</f>
        <v>0</v>
      </c>
      <c r="D14" s="124">
        <f>$A$10*$B14*D$7</f>
        <v>0</v>
      </c>
      <c r="E14" s="130">
        <f>$A$10*$B14*E$7</f>
        <v>0</v>
      </c>
      <c r="F14" s="125"/>
      <c r="G14" s="133">
        <f>C14</f>
        <v>0</v>
      </c>
      <c r="H14" s="126">
        <f>D14</f>
        <v>0</v>
      </c>
      <c r="I14" s="127">
        <f>E14</f>
        <v>0</v>
      </c>
      <c r="K14" s="5"/>
      <c r="L14" s="5"/>
      <c r="M14" s="5"/>
      <c r="O14" s="5"/>
      <c r="P14" s="5"/>
      <c r="Q14" s="5"/>
      <c r="S14" s="5"/>
      <c r="T14" s="5"/>
      <c r="U14" s="5"/>
      <c r="W14" s="5"/>
      <c r="X14" s="5"/>
      <c r="Y14" s="5"/>
      <c r="AC14" s="5"/>
      <c r="AD14" s="5"/>
      <c r="AE14" s="5"/>
      <c r="AG14" s="5"/>
      <c r="AH14" s="5"/>
      <c r="AI14" s="5"/>
      <c r="AK14" s="5"/>
      <c r="AL14" s="5"/>
      <c r="AM14" s="5"/>
      <c r="AO14" s="5"/>
      <c r="AP14" s="5"/>
      <c r="AQ14" s="5"/>
      <c r="AS14" s="5"/>
      <c r="AT14" s="5"/>
      <c r="AU14" s="5"/>
      <c r="AW14" s="5"/>
      <c r="AX14" s="5"/>
      <c r="AY14" s="5"/>
    </row>
    <row r="15" spans="1:51">
      <c r="A15" s="219">
        <v>0.2</v>
      </c>
      <c r="B15" s="7">
        <v>0.1</v>
      </c>
      <c r="C15" s="107">
        <f>$A$15*$B15*C$7</f>
        <v>1.4000000000000004E-3</v>
      </c>
      <c r="D15" s="8">
        <f>$A$15*$B15*D$7</f>
        <v>1.6000000000000003E-3</v>
      </c>
      <c r="E15" s="131">
        <f>$A$15*$B15*E$7</f>
        <v>2.0000000000000005E-3</v>
      </c>
      <c r="G15" s="114">
        <f t="shared" si="4"/>
        <v>1.4000000000000004E-3</v>
      </c>
      <c r="H15" s="5">
        <f t="shared" si="5"/>
        <v>1.6000000000000003E-3</v>
      </c>
      <c r="I15" s="108">
        <f t="shared" si="6"/>
        <v>2.0000000000000005E-3</v>
      </c>
      <c r="K15" s="5"/>
      <c r="L15" s="5"/>
      <c r="M15" s="5"/>
      <c r="O15" s="5"/>
      <c r="P15" s="5"/>
      <c r="Q15" s="5"/>
      <c r="S15" s="5"/>
      <c r="T15" s="5"/>
      <c r="U15" s="5"/>
      <c r="W15" s="5"/>
      <c r="X15" s="5"/>
      <c r="Y15" s="5"/>
      <c r="AC15" s="5"/>
      <c r="AD15" s="5"/>
      <c r="AE15" s="5"/>
      <c r="AG15" s="5"/>
      <c r="AH15" s="5"/>
      <c r="AI15" s="5"/>
      <c r="AK15" s="5"/>
      <c r="AL15" s="5"/>
      <c r="AM15" s="5"/>
      <c r="AO15" s="5"/>
      <c r="AP15" s="5"/>
      <c r="AQ15" s="5"/>
      <c r="AS15" s="5"/>
      <c r="AT15" s="5"/>
      <c r="AU15" s="5"/>
      <c r="AW15" s="5"/>
      <c r="AX15" s="5"/>
      <c r="AY15" s="5"/>
    </row>
    <row r="16" spans="1:51">
      <c r="A16" s="219">
        <v>0.2</v>
      </c>
      <c r="B16" s="7">
        <v>0.2</v>
      </c>
      <c r="C16" s="107">
        <f t="shared" ref="C16:E18" si="7">$A$15*$B16*C$7</f>
        <v>2.8000000000000008E-3</v>
      </c>
      <c r="D16" s="8">
        <f t="shared" si="7"/>
        <v>3.2000000000000006E-3</v>
      </c>
      <c r="E16" s="131">
        <f t="shared" si="7"/>
        <v>4.000000000000001E-3</v>
      </c>
      <c r="G16" s="114">
        <f t="shared" si="4"/>
        <v>2.8000000000000008E-3</v>
      </c>
      <c r="H16" s="5">
        <f t="shared" si="5"/>
        <v>3.2000000000000006E-3</v>
      </c>
      <c r="I16" s="108">
        <f t="shared" si="6"/>
        <v>4.000000000000001E-3</v>
      </c>
      <c r="K16" s="5"/>
      <c r="L16" s="5"/>
      <c r="M16" s="5"/>
      <c r="O16" s="5"/>
      <c r="P16" s="5"/>
      <c r="Q16" s="5"/>
      <c r="S16" s="5"/>
      <c r="T16" s="5"/>
      <c r="U16" s="5"/>
      <c r="W16" s="5"/>
      <c r="X16" s="5"/>
      <c r="Y16" s="5"/>
      <c r="AC16" s="5"/>
      <c r="AD16" s="5"/>
      <c r="AE16" s="5"/>
      <c r="AG16" s="5"/>
      <c r="AH16" s="5"/>
      <c r="AI16" s="5"/>
      <c r="AK16" s="5"/>
      <c r="AL16" s="5"/>
      <c r="AM16" s="5"/>
      <c r="AO16" s="5"/>
      <c r="AP16" s="5"/>
      <c r="AQ16" s="5"/>
      <c r="AS16" s="5"/>
      <c r="AT16" s="5"/>
      <c r="AU16" s="5"/>
      <c r="AW16" s="5"/>
      <c r="AX16" s="5"/>
      <c r="AY16" s="5"/>
    </row>
    <row r="17" spans="1:51">
      <c r="A17" s="219">
        <v>0.2</v>
      </c>
      <c r="B17" s="7">
        <v>0.3</v>
      </c>
      <c r="C17" s="107">
        <f t="shared" si="7"/>
        <v>4.2000000000000006E-3</v>
      </c>
      <c r="D17" s="8">
        <f t="shared" si="7"/>
        <v>4.7999999999999996E-3</v>
      </c>
      <c r="E17" s="131">
        <f t="shared" si="7"/>
        <v>6.0000000000000001E-3</v>
      </c>
      <c r="G17" s="114">
        <f t="shared" si="4"/>
        <v>4.2000000000000006E-3</v>
      </c>
      <c r="H17" s="5">
        <f t="shared" si="5"/>
        <v>4.7999999999999996E-3</v>
      </c>
      <c r="I17" s="108">
        <f t="shared" si="6"/>
        <v>6.0000000000000001E-3</v>
      </c>
      <c r="K17" s="5"/>
      <c r="L17" s="5"/>
      <c r="M17" s="5"/>
      <c r="O17" s="5"/>
      <c r="P17" s="5"/>
      <c r="Q17" s="5"/>
      <c r="S17" s="5"/>
      <c r="T17" s="5"/>
      <c r="U17" s="5"/>
      <c r="W17" s="5"/>
      <c r="X17" s="5"/>
      <c r="Y17" s="5"/>
      <c r="AC17" s="5"/>
      <c r="AD17" s="5"/>
      <c r="AE17" s="5"/>
      <c r="AG17" s="5"/>
      <c r="AH17" s="5"/>
      <c r="AI17" s="5"/>
      <c r="AK17" s="5"/>
      <c r="AL17" s="5"/>
      <c r="AM17" s="5"/>
      <c r="AO17" s="5"/>
      <c r="AP17" s="5"/>
      <c r="AQ17" s="5"/>
      <c r="AS17" s="5"/>
      <c r="AT17" s="5"/>
      <c r="AU17" s="5"/>
      <c r="AW17" s="5"/>
      <c r="AX17" s="5"/>
      <c r="AY17" s="5"/>
    </row>
    <row r="18" spans="1:51" ht="15" thickBot="1">
      <c r="A18" s="373">
        <v>0.2</v>
      </c>
      <c r="B18" s="128">
        <v>0.4</v>
      </c>
      <c r="C18" s="109">
        <f t="shared" si="7"/>
        <v>5.6000000000000017E-3</v>
      </c>
      <c r="D18" s="110">
        <f t="shared" si="7"/>
        <v>6.4000000000000012E-3</v>
      </c>
      <c r="E18" s="132">
        <f t="shared" si="7"/>
        <v>8.0000000000000019E-3</v>
      </c>
      <c r="F18" s="87"/>
      <c r="G18" s="115">
        <f t="shared" si="4"/>
        <v>5.6000000000000017E-3</v>
      </c>
      <c r="H18" s="111">
        <f t="shared" si="5"/>
        <v>6.4000000000000012E-3</v>
      </c>
      <c r="I18" s="112">
        <f t="shared" si="6"/>
        <v>8.0000000000000019E-3</v>
      </c>
      <c r="K18" s="5"/>
      <c r="L18" s="5"/>
      <c r="M18" s="5"/>
      <c r="O18" s="5"/>
      <c r="P18" s="5"/>
      <c r="Q18" s="5"/>
      <c r="S18" s="5"/>
      <c r="T18" s="5"/>
      <c r="U18" s="5"/>
      <c r="W18" s="5"/>
      <c r="X18" s="5"/>
      <c r="Y18" s="5"/>
      <c r="AC18" s="5"/>
      <c r="AD18" s="5"/>
      <c r="AE18" s="5"/>
      <c r="AG18" s="5"/>
      <c r="AH18" s="5"/>
      <c r="AI18" s="5"/>
      <c r="AK18" s="5"/>
      <c r="AL18" s="5"/>
      <c r="AM18" s="5"/>
      <c r="AO18" s="5"/>
      <c r="AP18" s="5"/>
      <c r="AQ18" s="5"/>
      <c r="AS18" s="5"/>
      <c r="AT18" s="5"/>
      <c r="AU18" s="5"/>
      <c r="AW18" s="5"/>
      <c r="AX18" s="5"/>
      <c r="AY18" s="5"/>
    </row>
    <row r="19" spans="1:51">
      <c r="A19" s="218">
        <v>0.3</v>
      </c>
      <c r="B19" s="372">
        <v>0</v>
      </c>
      <c r="C19" s="129">
        <f>$A$10*$B19*C$7</f>
        <v>0</v>
      </c>
      <c r="D19" s="124">
        <f>$A$10*$B19*D$7</f>
        <v>0</v>
      </c>
      <c r="E19" s="130">
        <f>$A$10*$B19*E$7</f>
        <v>0</v>
      </c>
      <c r="F19" s="125"/>
      <c r="G19" s="133">
        <f>C19</f>
        <v>0</v>
      </c>
      <c r="H19" s="126">
        <f>D19</f>
        <v>0</v>
      </c>
      <c r="I19" s="127">
        <f>E19</f>
        <v>0</v>
      </c>
      <c r="K19" s="5"/>
      <c r="L19" s="5"/>
      <c r="M19" s="5"/>
      <c r="O19" s="5"/>
      <c r="P19" s="5"/>
      <c r="Q19" s="5"/>
      <c r="S19" s="5"/>
      <c r="T19" s="5"/>
      <c r="U19" s="5"/>
      <c r="W19" s="5"/>
      <c r="X19" s="5"/>
      <c r="Y19" s="5"/>
      <c r="AC19" s="5"/>
      <c r="AD19" s="5"/>
      <c r="AE19" s="5"/>
      <c r="AG19" s="5"/>
      <c r="AH19" s="5"/>
      <c r="AI19" s="5"/>
      <c r="AK19" s="5"/>
      <c r="AL19" s="5"/>
      <c r="AM19" s="5"/>
      <c r="AO19" s="5"/>
      <c r="AP19" s="5"/>
      <c r="AQ19" s="5"/>
      <c r="AS19" s="5"/>
      <c r="AT19" s="5"/>
      <c r="AU19" s="5"/>
      <c r="AW19" s="5"/>
      <c r="AX19" s="5"/>
      <c r="AY19" s="5"/>
    </row>
    <row r="20" spans="1:51">
      <c r="A20" s="219">
        <v>0.3</v>
      </c>
      <c r="B20" s="7">
        <v>0.1</v>
      </c>
      <c r="C20" s="107">
        <f>$A$20*$B20*C$7</f>
        <v>2.1000000000000003E-3</v>
      </c>
      <c r="D20" s="8">
        <f>$A$20*$B20*D$7</f>
        <v>2.3999999999999998E-3</v>
      </c>
      <c r="E20" s="131">
        <f>$A$20*$B20*E$7</f>
        <v>3.0000000000000001E-3</v>
      </c>
      <c r="G20" s="114">
        <f t="shared" si="4"/>
        <v>2.1000000000000003E-3</v>
      </c>
      <c r="H20" s="5">
        <f t="shared" si="5"/>
        <v>2.3999999999999998E-3</v>
      </c>
      <c r="I20" s="108">
        <f t="shared" si="6"/>
        <v>3.0000000000000001E-3</v>
      </c>
      <c r="K20" s="5"/>
      <c r="L20" s="5"/>
      <c r="M20" s="5"/>
      <c r="O20" s="5"/>
      <c r="P20" s="5"/>
      <c r="Q20" s="5"/>
      <c r="S20" s="5"/>
      <c r="T20" s="5"/>
      <c r="U20" s="5"/>
      <c r="W20" s="5"/>
      <c r="X20" s="5"/>
      <c r="Y20" s="5"/>
      <c r="AC20" s="5"/>
      <c r="AD20" s="5"/>
      <c r="AE20" s="5"/>
      <c r="AG20" s="5"/>
      <c r="AH20" s="5"/>
      <c r="AI20" s="5"/>
      <c r="AK20" s="5"/>
      <c r="AL20" s="5"/>
      <c r="AM20" s="5"/>
      <c r="AO20" s="5"/>
      <c r="AP20" s="5"/>
      <c r="AQ20" s="5"/>
      <c r="AS20" s="5"/>
      <c r="AT20" s="5"/>
      <c r="AU20" s="5"/>
      <c r="AW20" s="5"/>
      <c r="AX20" s="5"/>
      <c r="AY20" s="5"/>
    </row>
    <row r="21" spans="1:51">
      <c r="A21" s="219">
        <v>0.3</v>
      </c>
      <c r="B21" s="7">
        <v>0.2</v>
      </c>
      <c r="C21" s="107">
        <f t="shared" ref="C21:E23" si="8">$A$20*$B21*C$7</f>
        <v>4.2000000000000006E-3</v>
      </c>
      <c r="D21" s="8">
        <f t="shared" si="8"/>
        <v>4.7999999999999996E-3</v>
      </c>
      <c r="E21" s="131">
        <f t="shared" si="8"/>
        <v>6.0000000000000001E-3</v>
      </c>
      <c r="G21" s="114">
        <f t="shared" si="4"/>
        <v>4.2000000000000006E-3</v>
      </c>
      <c r="H21" s="5">
        <f t="shared" si="5"/>
        <v>4.7999999999999996E-3</v>
      </c>
      <c r="I21" s="108">
        <f t="shared" si="6"/>
        <v>6.0000000000000001E-3</v>
      </c>
      <c r="K21" s="5"/>
      <c r="L21" s="5"/>
      <c r="M21" s="5"/>
      <c r="O21" s="5"/>
      <c r="P21" s="5"/>
      <c r="Q21" s="5"/>
      <c r="S21" s="5"/>
      <c r="T21" s="5"/>
      <c r="U21" s="5"/>
      <c r="W21" s="5"/>
      <c r="X21" s="5"/>
      <c r="Y21" s="5"/>
      <c r="AC21" s="5"/>
      <c r="AD21" s="5"/>
      <c r="AE21" s="5"/>
      <c r="AG21" s="5"/>
      <c r="AH21" s="5"/>
      <c r="AI21" s="5"/>
      <c r="AK21" s="5"/>
      <c r="AL21" s="5"/>
      <c r="AM21" s="5"/>
      <c r="AO21" s="5"/>
      <c r="AP21" s="5"/>
      <c r="AQ21" s="5"/>
      <c r="AS21" s="5"/>
      <c r="AT21" s="5"/>
      <c r="AU21" s="5"/>
      <c r="AW21" s="5"/>
      <c r="AX21" s="5"/>
      <c r="AY21" s="5"/>
    </row>
    <row r="22" spans="1:51">
      <c r="A22" s="219">
        <v>0.3</v>
      </c>
      <c r="B22" s="7">
        <v>0.3</v>
      </c>
      <c r="C22" s="107">
        <f t="shared" si="8"/>
        <v>6.3E-3</v>
      </c>
      <c r="D22" s="8">
        <f t="shared" si="8"/>
        <v>7.1999999999999998E-3</v>
      </c>
      <c r="E22" s="131">
        <f t="shared" si="8"/>
        <v>8.9999999999999993E-3</v>
      </c>
      <c r="G22" s="114">
        <f t="shared" si="4"/>
        <v>6.3E-3</v>
      </c>
      <c r="H22" s="5">
        <f t="shared" si="5"/>
        <v>7.1999999999999998E-3</v>
      </c>
      <c r="I22" s="108">
        <f t="shared" si="6"/>
        <v>8.9999999999999993E-3</v>
      </c>
      <c r="K22" s="5"/>
      <c r="L22" s="5"/>
      <c r="M22" s="5"/>
      <c r="O22" s="5"/>
      <c r="P22" s="5"/>
      <c r="Q22" s="5"/>
      <c r="S22" s="5"/>
      <c r="T22" s="5"/>
      <c r="U22" s="5"/>
      <c r="W22" s="5"/>
      <c r="X22" s="5"/>
      <c r="Y22" s="5"/>
      <c r="AC22" s="5"/>
      <c r="AD22" s="5"/>
      <c r="AE22" s="5"/>
      <c r="AG22" s="5"/>
      <c r="AH22" s="5"/>
      <c r="AI22" s="5"/>
      <c r="AK22" s="5"/>
      <c r="AL22" s="5"/>
      <c r="AM22" s="5"/>
      <c r="AO22" s="5"/>
      <c r="AP22" s="5"/>
      <c r="AQ22" s="5"/>
      <c r="AS22" s="5"/>
      <c r="AT22" s="5"/>
      <c r="AU22" s="5"/>
      <c r="AW22" s="5"/>
      <c r="AX22" s="5"/>
      <c r="AY22" s="5"/>
    </row>
    <row r="23" spans="1:51" ht="15" thickBot="1">
      <c r="A23" s="373">
        <v>0.3</v>
      </c>
      <c r="B23" s="128">
        <v>0.4</v>
      </c>
      <c r="C23" s="109">
        <f t="shared" si="8"/>
        <v>8.4000000000000012E-3</v>
      </c>
      <c r="D23" s="110">
        <f t="shared" si="8"/>
        <v>9.5999999999999992E-3</v>
      </c>
      <c r="E23" s="132">
        <f t="shared" si="8"/>
        <v>1.2E-2</v>
      </c>
      <c r="F23" s="87"/>
      <c r="G23" s="115">
        <f t="shared" si="4"/>
        <v>8.4000000000000012E-3</v>
      </c>
      <c r="H23" s="111">
        <f t="shared" si="5"/>
        <v>9.5999999999999992E-3</v>
      </c>
      <c r="I23" s="112">
        <f t="shared" si="6"/>
        <v>1.2E-2</v>
      </c>
      <c r="K23" s="5"/>
      <c r="L23" s="5"/>
      <c r="M23" s="5"/>
      <c r="O23" s="5"/>
      <c r="P23" s="5"/>
      <c r="Q23" s="5"/>
      <c r="S23" s="5"/>
      <c r="T23" s="5"/>
      <c r="U23" s="5"/>
      <c r="W23" s="5"/>
      <c r="X23" s="5"/>
      <c r="Y23" s="5"/>
      <c r="AC23" s="5"/>
      <c r="AD23" s="5"/>
      <c r="AE23" s="5"/>
      <c r="AG23" s="5"/>
      <c r="AH23" s="5"/>
      <c r="AI23" s="5"/>
      <c r="AK23" s="5"/>
      <c r="AL23" s="5"/>
      <c r="AM23" s="5"/>
      <c r="AO23" s="5"/>
      <c r="AP23" s="5"/>
      <c r="AQ23" s="5"/>
      <c r="AS23" s="5"/>
      <c r="AT23" s="5"/>
      <c r="AU23" s="5"/>
      <c r="AW23" s="5"/>
      <c r="AX23" s="5"/>
      <c r="AY23" s="5"/>
    </row>
    <row r="24" spans="1:51">
      <c r="A24" s="218">
        <v>0.4</v>
      </c>
      <c r="B24" s="372">
        <v>0</v>
      </c>
      <c r="C24" s="129">
        <f>$A$10*$B24*C$7</f>
        <v>0</v>
      </c>
      <c r="D24" s="124">
        <f>$A$10*$B24*D$7</f>
        <v>0</v>
      </c>
      <c r="E24" s="130">
        <f>$A$10*$B24*E$7</f>
        <v>0</v>
      </c>
      <c r="F24" s="125"/>
      <c r="G24" s="133">
        <f>C24</f>
        <v>0</v>
      </c>
      <c r="H24" s="126">
        <f>D24</f>
        <v>0</v>
      </c>
      <c r="I24" s="127">
        <f>E24</f>
        <v>0</v>
      </c>
      <c r="K24" s="5"/>
      <c r="L24" s="5"/>
      <c r="M24" s="5"/>
      <c r="O24" s="5"/>
      <c r="P24" s="5"/>
      <c r="Q24" s="5"/>
      <c r="S24" s="5"/>
      <c r="T24" s="5"/>
      <c r="U24" s="5"/>
      <c r="W24" s="5"/>
      <c r="X24" s="5"/>
      <c r="Y24" s="5"/>
      <c r="AC24" s="5"/>
      <c r="AD24" s="5"/>
      <c r="AE24" s="5"/>
      <c r="AG24" s="5"/>
      <c r="AH24" s="5"/>
      <c r="AI24" s="5"/>
      <c r="AK24" s="5"/>
      <c r="AL24" s="5"/>
      <c r="AM24" s="5"/>
      <c r="AO24" s="5"/>
      <c r="AP24" s="5"/>
      <c r="AQ24" s="5"/>
      <c r="AS24" s="5"/>
      <c r="AT24" s="5"/>
      <c r="AU24" s="5"/>
      <c r="AW24" s="5"/>
      <c r="AX24" s="5"/>
      <c r="AY24" s="5"/>
    </row>
    <row r="25" spans="1:51">
      <c r="A25" s="219">
        <v>0.4</v>
      </c>
      <c r="B25" s="7">
        <v>0.1</v>
      </c>
      <c r="C25" s="107">
        <f>$A$25*$B25*C$7</f>
        <v>2.8000000000000008E-3</v>
      </c>
      <c r="D25" s="8">
        <f>$A$25*$B25*D$7</f>
        <v>3.2000000000000006E-3</v>
      </c>
      <c r="E25" s="131">
        <f>$A$25*$B25*E$7</f>
        <v>4.000000000000001E-3</v>
      </c>
      <c r="G25" s="114">
        <f t="shared" si="4"/>
        <v>2.8000000000000008E-3</v>
      </c>
      <c r="H25" s="5">
        <f t="shared" si="5"/>
        <v>3.2000000000000006E-3</v>
      </c>
      <c r="I25" s="108">
        <f t="shared" si="6"/>
        <v>4.000000000000001E-3</v>
      </c>
      <c r="K25" s="5"/>
      <c r="L25" s="5"/>
      <c r="M25" s="5"/>
      <c r="O25" s="5"/>
      <c r="P25" s="5"/>
      <c r="Q25" s="5"/>
      <c r="S25" s="5"/>
      <c r="T25" s="5"/>
      <c r="U25" s="5"/>
      <c r="W25" s="5"/>
      <c r="X25" s="5"/>
      <c r="Y25" s="5"/>
      <c r="AC25" s="5"/>
      <c r="AD25" s="5"/>
      <c r="AE25" s="5"/>
      <c r="AG25" s="5"/>
      <c r="AH25" s="5"/>
      <c r="AI25" s="5"/>
      <c r="AK25" s="5"/>
      <c r="AL25" s="5"/>
      <c r="AM25" s="5"/>
      <c r="AO25" s="5"/>
      <c r="AP25" s="5"/>
      <c r="AQ25" s="5"/>
      <c r="AS25" s="5"/>
      <c r="AT25" s="5"/>
      <c r="AU25" s="5"/>
      <c r="AW25" s="5"/>
      <c r="AX25" s="5"/>
      <c r="AY25" s="5"/>
    </row>
    <row r="26" spans="1:51">
      <c r="A26" s="219">
        <v>0.4</v>
      </c>
      <c r="B26" s="7">
        <v>0.2</v>
      </c>
      <c r="C26" s="107">
        <f t="shared" ref="C26:E28" si="9">$A$25*$B26*C$7</f>
        <v>5.6000000000000017E-3</v>
      </c>
      <c r="D26" s="8">
        <f t="shared" si="9"/>
        <v>6.4000000000000012E-3</v>
      </c>
      <c r="E26" s="131">
        <f t="shared" si="9"/>
        <v>8.0000000000000019E-3</v>
      </c>
      <c r="G26" s="114">
        <f t="shared" si="4"/>
        <v>5.6000000000000017E-3</v>
      </c>
      <c r="H26" s="5">
        <f t="shared" si="5"/>
        <v>6.4000000000000012E-3</v>
      </c>
      <c r="I26" s="108">
        <f t="shared" si="6"/>
        <v>8.0000000000000019E-3</v>
      </c>
      <c r="K26" s="5"/>
      <c r="L26" s="5"/>
      <c r="M26" s="5"/>
      <c r="O26" s="5"/>
      <c r="P26" s="5"/>
      <c r="Q26" s="5"/>
      <c r="S26" s="5"/>
      <c r="T26" s="5"/>
      <c r="U26" s="5"/>
      <c r="W26" s="5"/>
      <c r="X26" s="5"/>
      <c r="Y26" s="5"/>
      <c r="AC26" s="5"/>
      <c r="AD26" s="5"/>
      <c r="AE26" s="5"/>
      <c r="AG26" s="5"/>
      <c r="AH26" s="5"/>
      <c r="AI26" s="5"/>
      <c r="AK26" s="5"/>
      <c r="AL26" s="5"/>
      <c r="AM26" s="5"/>
      <c r="AO26" s="5"/>
      <c r="AP26" s="5"/>
      <c r="AQ26" s="5"/>
      <c r="AS26" s="5"/>
      <c r="AT26" s="5"/>
      <c r="AU26" s="5"/>
      <c r="AW26" s="5"/>
      <c r="AX26" s="5"/>
      <c r="AY26" s="5"/>
    </row>
    <row r="27" spans="1:51">
      <c r="A27" s="219">
        <v>0.4</v>
      </c>
      <c r="B27" s="7">
        <v>0.3</v>
      </c>
      <c r="C27" s="107">
        <f t="shared" si="9"/>
        <v>8.4000000000000012E-3</v>
      </c>
      <c r="D27" s="8">
        <f t="shared" si="9"/>
        <v>9.5999999999999992E-3</v>
      </c>
      <c r="E27" s="131">
        <f t="shared" si="9"/>
        <v>1.2E-2</v>
      </c>
      <c r="G27" s="114">
        <f t="shared" si="4"/>
        <v>8.4000000000000012E-3</v>
      </c>
      <c r="H27" s="5">
        <f t="shared" si="5"/>
        <v>9.5999999999999992E-3</v>
      </c>
      <c r="I27" s="108">
        <f t="shared" si="6"/>
        <v>1.2E-2</v>
      </c>
      <c r="K27" s="5"/>
      <c r="L27" s="5"/>
      <c r="M27" s="5"/>
      <c r="O27" s="5"/>
      <c r="P27" s="5"/>
      <c r="Q27" s="5"/>
      <c r="S27" s="5"/>
      <c r="T27" s="5"/>
      <c r="U27" s="5"/>
      <c r="W27" s="5"/>
      <c r="X27" s="5"/>
      <c r="Y27" s="5"/>
      <c r="AC27" s="5"/>
      <c r="AD27" s="5"/>
      <c r="AE27" s="5"/>
      <c r="AG27" s="5"/>
      <c r="AH27" s="5"/>
      <c r="AI27" s="5"/>
      <c r="AK27" s="5"/>
      <c r="AL27" s="5"/>
      <c r="AM27" s="5"/>
      <c r="AO27" s="5"/>
      <c r="AP27" s="5"/>
      <c r="AQ27" s="5"/>
      <c r="AS27" s="5"/>
      <c r="AT27" s="5"/>
      <c r="AU27" s="5"/>
      <c r="AW27" s="5"/>
      <c r="AX27" s="5"/>
      <c r="AY27" s="5"/>
    </row>
    <row r="28" spans="1:51" ht="15" thickBot="1">
      <c r="A28" s="373">
        <v>0.4</v>
      </c>
      <c r="B28" s="128">
        <v>0.4</v>
      </c>
      <c r="C28" s="109">
        <f t="shared" si="9"/>
        <v>1.1200000000000003E-2</v>
      </c>
      <c r="D28" s="110">
        <f t="shared" si="9"/>
        <v>1.2800000000000002E-2</v>
      </c>
      <c r="E28" s="132">
        <f t="shared" si="9"/>
        <v>1.6000000000000004E-2</v>
      </c>
      <c r="F28" s="87"/>
      <c r="G28" s="115">
        <f t="shared" si="4"/>
        <v>1.1200000000000003E-2</v>
      </c>
      <c r="H28" s="111">
        <f t="shared" si="5"/>
        <v>1.2800000000000002E-2</v>
      </c>
      <c r="I28" s="112">
        <f t="shared" si="6"/>
        <v>1.6000000000000004E-2</v>
      </c>
      <c r="K28" s="5"/>
      <c r="L28" s="5"/>
      <c r="M28" s="5"/>
      <c r="O28" s="5"/>
      <c r="P28" s="5"/>
      <c r="Q28" s="5"/>
      <c r="S28" s="5"/>
      <c r="T28" s="5"/>
      <c r="U28" s="5"/>
      <c r="W28" s="5"/>
      <c r="X28" s="5"/>
      <c r="Y28" s="5"/>
      <c r="AC28" s="5"/>
      <c r="AD28" s="5"/>
      <c r="AE28" s="5"/>
      <c r="AG28" s="5"/>
      <c r="AH28" s="5"/>
      <c r="AI28" s="5"/>
      <c r="AK28" s="5"/>
      <c r="AL28" s="5"/>
      <c r="AM28" s="5"/>
      <c r="AO28" s="5"/>
      <c r="AP28" s="5"/>
      <c r="AQ28" s="5"/>
      <c r="AS28" s="5"/>
      <c r="AT28" s="5"/>
      <c r="AU28" s="5"/>
      <c r="AW28" s="5"/>
      <c r="AX28" s="5"/>
      <c r="AY28" s="5"/>
    </row>
    <row r="29" spans="1:51">
      <c r="A29" s="218">
        <v>0.5</v>
      </c>
      <c r="B29" s="372">
        <v>0</v>
      </c>
      <c r="C29" s="129">
        <f>$A$10*$B29*C$7</f>
        <v>0</v>
      </c>
      <c r="D29" s="124">
        <f>$A$10*$B29*D$7</f>
        <v>0</v>
      </c>
      <c r="E29" s="130">
        <f>$A$10*$B29*E$7</f>
        <v>0</v>
      </c>
      <c r="F29" s="125"/>
      <c r="G29" s="133">
        <f>C29</f>
        <v>0</v>
      </c>
      <c r="H29" s="126">
        <f>D29</f>
        <v>0</v>
      </c>
      <c r="I29" s="127">
        <f>E29</f>
        <v>0</v>
      </c>
      <c r="K29" s="5"/>
      <c r="L29" s="5"/>
      <c r="M29" s="5"/>
      <c r="O29" s="5"/>
      <c r="P29" s="5"/>
      <c r="Q29" s="5"/>
      <c r="S29" s="5"/>
      <c r="T29" s="5"/>
      <c r="U29" s="5"/>
      <c r="W29" s="5"/>
      <c r="X29" s="5"/>
      <c r="Y29" s="5"/>
      <c r="AC29" s="5"/>
      <c r="AD29" s="5"/>
      <c r="AE29" s="5"/>
      <c r="AG29" s="5"/>
      <c r="AH29" s="5"/>
      <c r="AI29" s="5"/>
      <c r="AK29" s="5"/>
      <c r="AL29" s="5"/>
      <c r="AM29" s="5"/>
      <c r="AO29" s="5"/>
      <c r="AP29" s="5"/>
      <c r="AQ29" s="5"/>
      <c r="AS29" s="5"/>
      <c r="AT29" s="5"/>
      <c r="AU29" s="5"/>
      <c r="AW29" s="5"/>
      <c r="AX29" s="5"/>
      <c r="AY29" s="5"/>
    </row>
    <row r="30" spans="1:51">
      <c r="A30" s="219">
        <v>0.5</v>
      </c>
      <c r="B30" s="7">
        <v>0.1</v>
      </c>
      <c r="C30" s="107">
        <f>$A$30*$B30*C$7</f>
        <v>3.5000000000000005E-3</v>
      </c>
      <c r="D30" s="8">
        <f t="shared" ref="D30:E33" si="10">$A$30*$B30*D$7</f>
        <v>4.0000000000000001E-3</v>
      </c>
      <c r="E30" s="131">
        <f t="shared" si="10"/>
        <v>5.000000000000001E-3</v>
      </c>
      <c r="G30" s="114">
        <f t="shared" si="4"/>
        <v>3.5000000000000005E-3</v>
      </c>
      <c r="H30" s="5">
        <f t="shared" si="5"/>
        <v>4.0000000000000001E-3</v>
      </c>
      <c r="I30" s="108">
        <f t="shared" si="6"/>
        <v>5.000000000000001E-3</v>
      </c>
      <c r="K30" s="5"/>
      <c r="L30" s="5"/>
      <c r="M30" s="5"/>
      <c r="O30" s="5"/>
      <c r="P30" s="5"/>
      <c r="Q30" s="5"/>
      <c r="S30" s="5"/>
      <c r="T30" s="5"/>
      <c r="U30" s="5"/>
      <c r="W30" s="5"/>
      <c r="X30" s="5"/>
      <c r="Y30" s="5"/>
    </row>
    <row r="31" spans="1:51">
      <c r="A31" s="219">
        <v>0.5</v>
      </c>
      <c r="B31" s="7">
        <v>0.2</v>
      </c>
      <c r="C31" s="107">
        <f t="shared" ref="C31:C33" si="11">$A$30*$B31*C$7</f>
        <v>7.000000000000001E-3</v>
      </c>
      <c r="D31" s="8">
        <f t="shared" si="10"/>
        <v>8.0000000000000002E-3</v>
      </c>
      <c r="E31" s="131">
        <f t="shared" si="10"/>
        <v>1.0000000000000002E-2</v>
      </c>
      <c r="G31" s="114">
        <f t="shared" si="4"/>
        <v>7.000000000000001E-3</v>
      </c>
      <c r="H31" s="5">
        <f t="shared" si="5"/>
        <v>8.0000000000000002E-3</v>
      </c>
      <c r="I31" s="108">
        <f t="shared" si="6"/>
        <v>1.0000000000000002E-2</v>
      </c>
      <c r="K31" s="5"/>
      <c r="L31" s="5"/>
      <c r="M31" s="5"/>
      <c r="O31" s="5"/>
      <c r="P31" s="5"/>
      <c r="Q31" s="5"/>
      <c r="S31" s="5"/>
      <c r="T31" s="5"/>
      <c r="U31" s="5"/>
      <c r="W31" s="5"/>
      <c r="X31" s="5"/>
      <c r="Y31" s="5"/>
    </row>
    <row r="32" spans="1:51">
      <c r="A32" s="219">
        <v>0.5</v>
      </c>
      <c r="B32" s="7">
        <v>0.3</v>
      </c>
      <c r="C32" s="107">
        <f t="shared" si="11"/>
        <v>1.0500000000000001E-2</v>
      </c>
      <c r="D32" s="8">
        <f t="shared" si="10"/>
        <v>1.2E-2</v>
      </c>
      <c r="E32" s="131">
        <f t="shared" si="10"/>
        <v>1.4999999999999999E-2</v>
      </c>
      <c r="G32" s="114">
        <f t="shared" si="4"/>
        <v>1.0500000000000001E-2</v>
      </c>
      <c r="H32" s="5">
        <f t="shared" si="5"/>
        <v>1.2E-2</v>
      </c>
      <c r="I32" s="108">
        <f t="shared" si="6"/>
        <v>1.4999999999999999E-2</v>
      </c>
      <c r="K32" s="5"/>
      <c r="L32" s="5"/>
      <c r="M32" s="5"/>
      <c r="O32" s="5"/>
      <c r="P32" s="5"/>
      <c r="Q32" s="5"/>
      <c r="S32" s="5"/>
      <c r="T32" s="5"/>
      <c r="U32" s="5"/>
      <c r="W32" s="5"/>
      <c r="X32" s="5"/>
      <c r="Y32" s="5"/>
    </row>
    <row r="33" spans="1:25" ht="15" thickBot="1">
      <c r="A33" s="373">
        <v>0.5</v>
      </c>
      <c r="B33" s="128">
        <v>0.4</v>
      </c>
      <c r="C33" s="109">
        <f t="shared" si="11"/>
        <v>1.4000000000000002E-2</v>
      </c>
      <c r="D33" s="110">
        <f t="shared" si="10"/>
        <v>1.6E-2</v>
      </c>
      <c r="E33" s="132">
        <f t="shared" si="10"/>
        <v>2.0000000000000004E-2</v>
      </c>
      <c r="F33" s="87"/>
      <c r="G33" s="115">
        <f t="shared" si="4"/>
        <v>1.4000000000000002E-2</v>
      </c>
      <c r="H33" s="111">
        <f t="shared" si="5"/>
        <v>1.6E-2</v>
      </c>
      <c r="I33" s="112">
        <f t="shared" si="6"/>
        <v>2.0000000000000004E-2</v>
      </c>
      <c r="K33" s="5"/>
      <c r="L33" s="5"/>
      <c r="M33" s="5"/>
      <c r="O33" s="5"/>
      <c r="P33" s="5"/>
      <c r="Q33" s="5"/>
      <c r="S33" s="5"/>
      <c r="T33" s="5"/>
      <c r="U33" s="5"/>
      <c r="W33" s="5"/>
      <c r="X33" s="5"/>
      <c r="Y33" s="5"/>
    </row>
    <row r="34" spans="1:25">
      <c r="A34" s="218">
        <v>0.6</v>
      </c>
      <c r="B34" s="372">
        <v>0</v>
      </c>
      <c r="C34" s="129">
        <f>$A$10*$B34*C$7</f>
        <v>0</v>
      </c>
      <c r="D34" s="124">
        <f>$A$10*$B34*D$7</f>
        <v>0</v>
      </c>
      <c r="E34" s="130">
        <f>$A$10*$B34*E$7</f>
        <v>0</v>
      </c>
      <c r="F34" s="125"/>
      <c r="G34" s="133">
        <f>C34</f>
        <v>0</v>
      </c>
      <c r="H34" s="126">
        <f>D34</f>
        <v>0</v>
      </c>
      <c r="I34" s="127">
        <f>E34</f>
        <v>0</v>
      </c>
      <c r="K34" s="5"/>
      <c r="L34" s="5"/>
      <c r="M34" s="5"/>
      <c r="O34" s="5"/>
      <c r="P34" s="5"/>
      <c r="Q34" s="5"/>
      <c r="S34" s="5"/>
      <c r="T34" s="5"/>
      <c r="U34" s="5"/>
      <c r="W34" s="5"/>
      <c r="X34" s="5"/>
      <c r="Y34" s="5"/>
    </row>
    <row r="35" spans="1:25">
      <c r="A35" s="219">
        <v>0.6</v>
      </c>
      <c r="B35" s="7">
        <v>0.1</v>
      </c>
      <c r="C35" s="107">
        <f>$A$35*$B35*C$7</f>
        <v>4.2000000000000006E-3</v>
      </c>
      <c r="D35" s="8">
        <f t="shared" ref="D35:E38" si="12">$A$35*$B35*D$7</f>
        <v>4.7999999999999996E-3</v>
      </c>
      <c r="E35" s="131">
        <f t="shared" si="12"/>
        <v>6.0000000000000001E-3</v>
      </c>
      <c r="G35" s="114">
        <f t="shared" si="4"/>
        <v>4.2000000000000006E-3</v>
      </c>
      <c r="H35" s="5">
        <f t="shared" si="5"/>
        <v>4.7999999999999996E-3</v>
      </c>
      <c r="I35" s="108">
        <f t="shared" si="6"/>
        <v>6.0000000000000001E-3</v>
      </c>
      <c r="K35" s="5"/>
      <c r="L35" s="5"/>
      <c r="M35" s="5"/>
      <c r="O35" s="5"/>
      <c r="P35" s="5"/>
      <c r="Q35" s="5"/>
      <c r="S35" s="5"/>
      <c r="T35" s="5"/>
      <c r="U35" s="5"/>
      <c r="W35" s="5"/>
      <c r="X35" s="5"/>
      <c r="Y35" s="5"/>
    </row>
    <row r="36" spans="1:25">
      <c r="A36" s="219">
        <v>0.6</v>
      </c>
      <c r="B36" s="7">
        <v>0.2</v>
      </c>
      <c r="C36" s="107">
        <f t="shared" ref="C36:C38" si="13">$A$35*$B36*C$7</f>
        <v>8.4000000000000012E-3</v>
      </c>
      <c r="D36" s="8">
        <f t="shared" si="12"/>
        <v>9.5999999999999992E-3</v>
      </c>
      <c r="E36" s="131">
        <f t="shared" si="12"/>
        <v>1.2E-2</v>
      </c>
      <c r="G36" s="114">
        <f t="shared" si="4"/>
        <v>8.4000000000000012E-3</v>
      </c>
      <c r="H36" s="5">
        <f t="shared" si="5"/>
        <v>9.5999999999999992E-3</v>
      </c>
      <c r="I36" s="108">
        <f t="shared" si="6"/>
        <v>1.2E-2</v>
      </c>
      <c r="K36" s="5"/>
      <c r="L36" s="5"/>
      <c r="M36" s="5"/>
      <c r="O36" s="5"/>
      <c r="P36" s="5"/>
      <c r="Q36" s="5"/>
      <c r="S36" s="5"/>
      <c r="T36" s="5"/>
      <c r="U36" s="5"/>
      <c r="W36" s="5"/>
      <c r="X36" s="5"/>
      <c r="Y36" s="5"/>
    </row>
    <row r="37" spans="1:25">
      <c r="A37" s="219">
        <v>0.6</v>
      </c>
      <c r="B37" s="7">
        <v>0.3</v>
      </c>
      <c r="C37" s="107">
        <f t="shared" si="13"/>
        <v>1.26E-2</v>
      </c>
      <c r="D37" s="8">
        <f t="shared" si="12"/>
        <v>1.44E-2</v>
      </c>
      <c r="E37" s="131">
        <f t="shared" si="12"/>
        <v>1.7999999999999999E-2</v>
      </c>
      <c r="G37" s="114">
        <f t="shared" si="4"/>
        <v>1.26E-2</v>
      </c>
      <c r="H37" s="5">
        <f t="shared" si="5"/>
        <v>1.44E-2</v>
      </c>
      <c r="I37" s="108">
        <f t="shared" si="6"/>
        <v>1.7999999999999999E-2</v>
      </c>
      <c r="K37" s="5"/>
      <c r="L37" s="5"/>
      <c r="M37" s="5"/>
      <c r="O37" s="5"/>
      <c r="P37" s="5"/>
      <c r="Q37" s="5"/>
      <c r="S37" s="5"/>
      <c r="T37" s="5"/>
      <c r="U37" s="5"/>
      <c r="W37" s="5"/>
      <c r="X37" s="5"/>
      <c r="Y37" s="5"/>
    </row>
    <row r="38" spans="1:25" ht="15" thickBot="1">
      <c r="A38" s="373">
        <v>0.6</v>
      </c>
      <c r="B38" s="128">
        <v>0.4</v>
      </c>
      <c r="C38" s="109">
        <f t="shared" si="13"/>
        <v>1.6800000000000002E-2</v>
      </c>
      <c r="D38" s="110">
        <f t="shared" si="12"/>
        <v>1.9199999999999998E-2</v>
      </c>
      <c r="E38" s="132">
        <f t="shared" si="12"/>
        <v>2.4E-2</v>
      </c>
      <c r="F38" s="87"/>
      <c r="G38" s="115">
        <f t="shared" si="4"/>
        <v>1.6800000000000002E-2</v>
      </c>
      <c r="H38" s="111">
        <f t="shared" si="5"/>
        <v>1.9199999999999998E-2</v>
      </c>
      <c r="I38" s="112">
        <f t="shared" si="6"/>
        <v>2.4E-2</v>
      </c>
      <c r="K38" s="5"/>
      <c r="L38" s="5"/>
      <c r="M38" s="5"/>
      <c r="O38" s="5"/>
      <c r="P38" s="5"/>
      <c r="Q38" s="5"/>
      <c r="S38" s="5"/>
      <c r="T38" s="5"/>
      <c r="U38" s="5"/>
      <c r="W38" s="5"/>
      <c r="X38" s="5"/>
      <c r="Y38" s="5"/>
    </row>
    <row r="39" spans="1:25">
      <c r="A39" s="218">
        <v>0.7</v>
      </c>
      <c r="B39" s="372">
        <v>0</v>
      </c>
      <c r="C39" s="129">
        <f>$A$10*$B39*C$7</f>
        <v>0</v>
      </c>
      <c r="D39" s="124">
        <f>$A$10*$B39*D$7</f>
        <v>0</v>
      </c>
      <c r="E39" s="130">
        <f>$A$10*$B39*E$7</f>
        <v>0</v>
      </c>
      <c r="F39" s="125"/>
      <c r="G39" s="133">
        <f>C39</f>
        <v>0</v>
      </c>
      <c r="H39" s="126">
        <f>D39</f>
        <v>0</v>
      </c>
      <c r="I39" s="127">
        <f>E39</f>
        <v>0</v>
      </c>
      <c r="K39" s="5"/>
      <c r="L39" s="5"/>
      <c r="M39" s="5"/>
      <c r="O39" s="5"/>
      <c r="P39" s="5"/>
      <c r="Q39" s="5"/>
      <c r="S39" s="5"/>
      <c r="T39" s="5"/>
      <c r="U39" s="5"/>
      <c r="W39" s="5"/>
      <c r="X39" s="5"/>
      <c r="Y39" s="5"/>
    </row>
    <row r="40" spans="1:25">
      <c r="A40" s="219">
        <v>0.7</v>
      </c>
      <c r="B40" s="7">
        <v>0.1</v>
      </c>
      <c r="C40" s="107">
        <f>$A$40*$B40*C$7</f>
        <v>4.8999999999999998E-3</v>
      </c>
      <c r="D40" s="8">
        <f t="shared" ref="D40:E43" si="14">$A$40*$B40*D$7</f>
        <v>5.5999999999999999E-3</v>
      </c>
      <c r="E40" s="131">
        <f t="shared" si="14"/>
        <v>6.9999999999999993E-3</v>
      </c>
      <c r="G40" s="114">
        <f t="shared" si="4"/>
        <v>4.8999999999999998E-3</v>
      </c>
      <c r="H40" s="5">
        <f t="shared" si="5"/>
        <v>5.5999999999999999E-3</v>
      </c>
      <c r="I40" s="108">
        <f t="shared" si="6"/>
        <v>6.9999999999999993E-3</v>
      </c>
      <c r="K40" s="5"/>
      <c r="L40" s="5"/>
      <c r="M40" s="5"/>
      <c r="O40" s="5"/>
      <c r="P40" s="5"/>
      <c r="Q40" s="5"/>
      <c r="S40" s="5"/>
      <c r="T40" s="5"/>
      <c r="U40" s="5"/>
      <c r="W40" s="5"/>
      <c r="X40" s="5"/>
      <c r="Y40" s="5"/>
    </row>
    <row r="41" spans="1:25">
      <c r="A41" s="219">
        <v>0.7</v>
      </c>
      <c r="B41" s="7">
        <v>0.2</v>
      </c>
      <c r="C41" s="107">
        <f t="shared" ref="C41:C43" si="15">$A$40*$B41*C$7</f>
        <v>9.7999999999999997E-3</v>
      </c>
      <c r="D41" s="8">
        <f t="shared" si="14"/>
        <v>1.12E-2</v>
      </c>
      <c r="E41" s="131">
        <f t="shared" si="14"/>
        <v>1.3999999999999999E-2</v>
      </c>
      <c r="G41" s="114">
        <f t="shared" si="4"/>
        <v>9.7999999999999997E-3</v>
      </c>
      <c r="H41" s="5">
        <f t="shared" si="5"/>
        <v>1.12E-2</v>
      </c>
      <c r="I41" s="108">
        <f t="shared" si="6"/>
        <v>1.3999999999999999E-2</v>
      </c>
      <c r="K41" s="5"/>
      <c r="L41" s="5"/>
      <c r="M41" s="5"/>
      <c r="O41" s="5"/>
      <c r="P41" s="5"/>
      <c r="Q41" s="5"/>
      <c r="S41" s="5"/>
      <c r="T41" s="5"/>
      <c r="U41" s="5"/>
      <c r="W41" s="5"/>
      <c r="X41" s="5"/>
      <c r="Y41" s="5"/>
    </row>
    <row r="42" spans="1:25">
      <c r="A42" s="219">
        <v>0.7</v>
      </c>
      <c r="B42" s="7">
        <v>0.3</v>
      </c>
      <c r="C42" s="107">
        <f t="shared" si="15"/>
        <v>1.4700000000000001E-2</v>
      </c>
      <c r="D42" s="8">
        <f t="shared" si="14"/>
        <v>1.6799999999999999E-2</v>
      </c>
      <c r="E42" s="131">
        <f t="shared" si="14"/>
        <v>2.1000000000000001E-2</v>
      </c>
      <c r="G42" s="114">
        <f t="shared" si="4"/>
        <v>1.4700000000000001E-2</v>
      </c>
      <c r="H42" s="5">
        <f t="shared" si="5"/>
        <v>1.6799999999999999E-2</v>
      </c>
      <c r="I42" s="108">
        <f t="shared" si="6"/>
        <v>2.1000000000000001E-2</v>
      </c>
      <c r="K42" s="5"/>
      <c r="L42" s="5"/>
      <c r="M42" s="5"/>
      <c r="O42" s="5"/>
      <c r="P42" s="5"/>
      <c r="Q42" s="5"/>
      <c r="S42" s="5"/>
      <c r="T42" s="5"/>
      <c r="U42" s="5"/>
      <c r="W42" s="5"/>
      <c r="X42" s="5"/>
      <c r="Y42" s="5"/>
    </row>
    <row r="43" spans="1:25" ht="15" thickBot="1">
      <c r="A43" s="373">
        <v>0.7</v>
      </c>
      <c r="B43" s="128">
        <v>0.4</v>
      </c>
      <c r="C43" s="109">
        <f t="shared" si="15"/>
        <v>1.9599999999999999E-2</v>
      </c>
      <c r="D43" s="110">
        <f t="shared" si="14"/>
        <v>2.24E-2</v>
      </c>
      <c r="E43" s="132">
        <f t="shared" si="14"/>
        <v>2.7999999999999997E-2</v>
      </c>
      <c r="F43" s="87"/>
      <c r="G43" s="115">
        <f t="shared" si="4"/>
        <v>1.9599999999999999E-2</v>
      </c>
      <c r="H43" s="111">
        <f t="shared" si="5"/>
        <v>2.24E-2</v>
      </c>
      <c r="I43" s="112">
        <f t="shared" si="6"/>
        <v>2.7999999999999997E-2</v>
      </c>
      <c r="K43" s="5"/>
      <c r="L43" s="5"/>
      <c r="M43" s="5"/>
      <c r="O43" s="5"/>
      <c r="P43" s="5"/>
      <c r="Q43" s="5"/>
      <c r="S43" s="5"/>
      <c r="T43" s="5"/>
      <c r="U43" s="5"/>
      <c r="W43" s="5"/>
      <c r="X43" s="5"/>
      <c r="Y43" s="5"/>
    </row>
    <row r="44" spans="1:25">
      <c r="A44" s="218">
        <v>0.8</v>
      </c>
      <c r="B44" s="372">
        <v>0</v>
      </c>
      <c r="C44" s="129">
        <f>$A$10*$B44*C$7</f>
        <v>0</v>
      </c>
      <c r="D44" s="124">
        <f>$A$10*$B44*D$7</f>
        <v>0</v>
      </c>
      <c r="E44" s="130">
        <f>$A$10*$B44*E$7</f>
        <v>0</v>
      </c>
      <c r="F44" s="125"/>
      <c r="G44" s="133">
        <f>C44</f>
        <v>0</v>
      </c>
      <c r="H44" s="126">
        <f>D44</f>
        <v>0</v>
      </c>
      <c r="I44" s="127">
        <f>E44</f>
        <v>0</v>
      </c>
      <c r="K44" s="5"/>
      <c r="L44" s="5"/>
      <c r="M44" s="5"/>
      <c r="O44" s="5"/>
      <c r="P44" s="5"/>
      <c r="Q44" s="5"/>
      <c r="S44" s="5"/>
      <c r="T44" s="5"/>
      <c r="U44" s="5"/>
      <c r="W44" s="5"/>
      <c r="X44" s="5"/>
      <c r="Y44" s="5"/>
    </row>
    <row r="45" spans="1:25">
      <c r="A45" s="219">
        <v>0.8</v>
      </c>
      <c r="B45" s="7">
        <v>0.1</v>
      </c>
      <c r="C45" s="107">
        <f>$A$45*$B45*C$7</f>
        <v>5.6000000000000017E-3</v>
      </c>
      <c r="D45" s="8">
        <f t="shared" ref="D45:E48" si="16">$A$45*$B45*D$7</f>
        <v>6.4000000000000012E-3</v>
      </c>
      <c r="E45" s="131">
        <f t="shared" si="16"/>
        <v>8.0000000000000019E-3</v>
      </c>
      <c r="G45" s="114">
        <f t="shared" si="4"/>
        <v>5.6000000000000017E-3</v>
      </c>
      <c r="H45" s="5">
        <f t="shared" si="5"/>
        <v>6.4000000000000012E-3</v>
      </c>
      <c r="I45" s="108">
        <f t="shared" si="6"/>
        <v>8.0000000000000019E-3</v>
      </c>
      <c r="K45" s="5"/>
      <c r="L45" s="5"/>
      <c r="M45" s="5"/>
      <c r="O45" s="5"/>
      <c r="P45" s="5"/>
      <c r="Q45" s="5"/>
      <c r="S45" s="5"/>
      <c r="T45" s="5"/>
      <c r="U45" s="5"/>
      <c r="W45" s="5"/>
      <c r="X45" s="5"/>
      <c r="Y45" s="5"/>
    </row>
    <row r="46" spans="1:25">
      <c r="A46" s="219">
        <v>0.8</v>
      </c>
      <c r="B46" s="7">
        <v>0.2</v>
      </c>
      <c r="C46" s="107">
        <f t="shared" ref="C46:C48" si="17">$A$45*$B46*C$7</f>
        <v>1.1200000000000003E-2</v>
      </c>
      <c r="D46" s="8">
        <f t="shared" si="16"/>
        <v>1.2800000000000002E-2</v>
      </c>
      <c r="E46" s="131">
        <f t="shared" si="16"/>
        <v>1.6000000000000004E-2</v>
      </c>
      <c r="G46" s="114">
        <f t="shared" si="4"/>
        <v>1.1200000000000003E-2</v>
      </c>
      <c r="H46" s="5">
        <f t="shared" si="5"/>
        <v>1.2800000000000002E-2</v>
      </c>
      <c r="I46" s="108">
        <f t="shared" si="6"/>
        <v>1.6000000000000004E-2</v>
      </c>
      <c r="K46" s="5"/>
      <c r="L46" s="5"/>
      <c r="M46" s="5"/>
      <c r="O46" s="5"/>
      <c r="P46" s="5"/>
      <c r="Q46" s="5"/>
      <c r="S46" s="5"/>
      <c r="T46" s="5"/>
      <c r="U46" s="5"/>
      <c r="W46" s="5"/>
      <c r="X46" s="5"/>
      <c r="Y46" s="5"/>
    </row>
    <row r="47" spans="1:25">
      <c r="A47" s="219">
        <v>0.8</v>
      </c>
      <c r="B47" s="7">
        <v>0.3</v>
      </c>
      <c r="C47" s="107">
        <f t="shared" si="17"/>
        <v>1.6800000000000002E-2</v>
      </c>
      <c r="D47" s="8">
        <f t="shared" si="16"/>
        <v>1.9199999999999998E-2</v>
      </c>
      <c r="E47" s="131">
        <f t="shared" si="16"/>
        <v>2.4E-2</v>
      </c>
      <c r="G47" s="114">
        <f t="shared" si="4"/>
        <v>1.6800000000000002E-2</v>
      </c>
      <c r="H47" s="5">
        <f t="shared" si="5"/>
        <v>1.9199999999999998E-2</v>
      </c>
      <c r="I47" s="108">
        <f t="shared" si="6"/>
        <v>2.4E-2</v>
      </c>
      <c r="K47" s="5"/>
      <c r="L47" s="5"/>
      <c r="M47" s="5"/>
      <c r="O47" s="5"/>
      <c r="P47" s="5"/>
      <c r="Q47" s="5"/>
      <c r="S47" s="5"/>
      <c r="T47" s="5"/>
      <c r="U47" s="5"/>
      <c r="W47" s="5"/>
      <c r="X47" s="5"/>
      <c r="Y47" s="5"/>
    </row>
    <row r="48" spans="1:25" ht="15" thickBot="1">
      <c r="A48" s="373">
        <v>0.8</v>
      </c>
      <c r="B48" s="128">
        <v>0.4</v>
      </c>
      <c r="C48" s="109">
        <f t="shared" si="17"/>
        <v>2.2400000000000007E-2</v>
      </c>
      <c r="D48" s="110">
        <f t="shared" si="16"/>
        <v>2.5600000000000005E-2</v>
      </c>
      <c r="E48" s="132">
        <f t="shared" si="16"/>
        <v>3.2000000000000008E-2</v>
      </c>
      <c r="F48" s="87"/>
      <c r="G48" s="115">
        <f t="shared" si="4"/>
        <v>2.2400000000000007E-2</v>
      </c>
      <c r="H48" s="111">
        <f t="shared" si="5"/>
        <v>2.5600000000000005E-2</v>
      </c>
      <c r="I48" s="112">
        <f t="shared" si="6"/>
        <v>3.2000000000000008E-2</v>
      </c>
      <c r="K48" s="5"/>
      <c r="L48" s="5"/>
      <c r="M48" s="5"/>
      <c r="O48" s="5"/>
      <c r="P48" s="5"/>
      <c r="Q48" s="5"/>
      <c r="S48" s="5"/>
      <c r="T48" s="5"/>
      <c r="U48" s="5"/>
      <c r="W48" s="5"/>
      <c r="X48" s="5"/>
      <c r="Y48" s="5"/>
    </row>
    <row r="49" spans="1:25">
      <c r="A49" s="218">
        <v>0.9</v>
      </c>
      <c r="B49" s="372">
        <v>0</v>
      </c>
      <c r="C49" s="129">
        <f>$A$10*$B49*C$7</f>
        <v>0</v>
      </c>
      <c r="D49" s="124">
        <f>$A$10*$B49*D$7</f>
        <v>0</v>
      </c>
      <c r="E49" s="130">
        <f>$A$10*$B49*E$7</f>
        <v>0</v>
      </c>
      <c r="F49" s="125"/>
      <c r="G49" s="133">
        <f>C49</f>
        <v>0</v>
      </c>
      <c r="H49" s="126">
        <f>D49</f>
        <v>0</v>
      </c>
      <c r="I49" s="127">
        <f>E49</f>
        <v>0</v>
      </c>
      <c r="K49" s="5"/>
      <c r="L49" s="5"/>
      <c r="M49" s="5"/>
      <c r="O49" s="5"/>
      <c r="P49" s="5"/>
      <c r="Q49" s="5"/>
      <c r="S49" s="5"/>
      <c r="T49" s="5"/>
      <c r="U49" s="5"/>
      <c r="W49" s="5"/>
      <c r="X49" s="5"/>
      <c r="Y49" s="5"/>
    </row>
    <row r="50" spans="1:25">
      <c r="A50" s="219">
        <v>0.9</v>
      </c>
      <c r="B50" s="7">
        <v>0.1</v>
      </c>
      <c r="C50" s="107">
        <f>$A$50*$B50*C$7</f>
        <v>6.3000000000000009E-3</v>
      </c>
      <c r="D50" s="8">
        <f t="shared" ref="D50:E53" si="18">$A$50*$B50*D$7</f>
        <v>7.2000000000000007E-3</v>
      </c>
      <c r="E50" s="131">
        <f t="shared" si="18"/>
        <v>9.0000000000000011E-3</v>
      </c>
      <c r="G50" s="114">
        <f t="shared" si="4"/>
        <v>6.3000000000000009E-3</v>
      </c>
      <c r="H50" s="5">
        <f t="shared" si="5"/>
        <v>7.2000000000000007E-3</v>
      </c>
      <c r="I50" s="108">
        <f t="shared" si="6"/>
        <v>9.0000000000000011E-3</v>
      </c>
      <c r="K50" s="5"/>
      <c r="L50" s="5"/>
      <c r="M50" s="5"/>
      <c r="O50" s="5"/>
      <c r="P50" s="5"/>
      <c r="Q50" s="5"/>
      <c r="S50" s="5"/>
      <c r="T50" s="5"/>
      <c r="U50" s="5"/>
      <c r="W50" s="5"/>
      <c r="X50" s="5"/>
      <c r="Y50" s="5"/>
    </row>
    <row r="51" spans="1:25">
      <c r="A51" s="219">
        <v>0.9</v>
      </c>
      <c r="B51" s="7">
        <v>0.2</v>
      </c>
      <c r="C51" s="107">
        <f t="shared" ref="C51:C53" si="19">$A$50*$B51*C$7</f>
        <v>1.2600000000000002E-2</v>
      </c>
      <c r="D51" s="8">
        <f t="shared" si="18"/>
        <v>1.4400000000000001E-2</v>
      </c>
      <c r="E51" s="131">
        <f t="shared" si="18"/>
        <v>1.8000000000000002E-2</v>
      </c>
      <c r="G51" s="114">
        <f t="shared" si="4"/>
        <v>1.2600000000000002E-2</v>
      </c>
      <c r="H51" s="5">
        <f t="shared" si="5"/>
        <v>1.4400000000000001E-2</v>
      </c>
      <c r="I51" s="108">
        <f t="shared" si="6"/>
        <v>1.8000000000000002E-2</v>
      </c>
      <c r="K51" s="5"/>
      <c r="L51" s="5"/>
      <c r="M51" s="5"/>
      <c r="O51" s="5"/>
      <c r="P51" s="5"/>
      <c r="Q51" s="5"/>
      <c r="S51" s="5"/>
      <c r="T51" s="5"/>
      <c r="U51" s="5"/>
      <c r="W51" s="5"/>
      <c r="X51" s="5"/>
      <c r="Y51" s="5"/>
    </row>
    <row r="52" spans="1:25">
      <c r="A52" s="219">
        <v>0.9</v>
      </c>
      <c r="B52" s="7">
        <v>0.3</v>
      </c>
      <c r="C52" s="107">
        <f t="shared" si="19"/>
        <v>1.8900000000000004E-2</v>
      </c>
      <c r="D52" s="8">
        <f t="shared" si="18"/>
        <v>2.1600000000000001E-2</v>
      </c>
      <c r="E52" s="131">
        <f t="shared" si="18"/>
        <v>2.7000000000000003E-2</v>
      </c>
      <c r="G52" s="114">
        <f t="shared" si="4"/>
        <v>1.8900000000000004E-2</v>
      </c>
      <c r="H52" s="5">
        <f t="shared" si="5"/>
        <v>2.1600000000000001E-2</v>
      </c>
      <c r="I52" s="108">
        <f t="shared" si="6"/>
        <v>2.7000000000000003E-2</v>
      </c>
      <c r="K52" s="5"/>
      <c r="L52" s="5"/>
      <c r="M52" s="5"/>
      <c r="O52" s="5"/>
      <c r="P52" s="5"/>
      <c r="Q52" s="5"/>
      <c r="S52" s="5"/>
      <c r="T52" s="5"/>
      <c r="U52" s="5"/>
      <c r="W52" s="5"/>
      <c r="X52" s="5"/>
      <c r="Y52" s="5"/>
    </row>
    <row r="53" spans="1:25" ht="15" thickBot="1">
      <c r="A53" s="373">
        <v>0.9</v>
      </c>
      <c r="B53" s="128">
        <v>0.4</v>
      </c>
      <c r="C53" s="109">
        <f t="shared" si="19"/>
        <v>2.5200000000000004E-2</v>
      </c>
      <c r="D53" s="110">
        <f t="shared" si="18"/>
        <v>2.8800000000000003E-2</v>
      </c>
      <c r="E53" s="132">
        <f t="shared" si="18"/>
        <v>3.6000000000000004E-2</v>
      </c>
      <c r="F53" s="87"/>
      <c r="G53" s="115">
        <f t="shared" si="4"/>
        <v>2.5200000000000004E-2</v>
      </c>
      <c r="H53" s="111">
        <f t="shared" si="5"/>
        <v>2.8800000000000003E-2</v>
      </c>
      <c r="I53" s="112">
        <f t="shared" si="6"/>
        <v>3.6000000000000004E-2</v>
      </c>
      <c r="K53" s="5"/>
      <c r="L53" s="5"/>
      <c r="M53" s="5"/>
      <c r="O53" s="5"/>
      <c r="P53" s="5"/>
      <c r="Q53" s="5"/>
      <c r="S53" s="5"/>
      <c r="T53" s="5"/>
      <c r="U53" s="5"/>
      <c r="W53" s="5"/>
      <c r="X53" s="5"/>
      <c r="Y53" s="5"/>
    </row>
  </sheetData>
  <mergeCells count="10">
    <mergeCell ref="C8:E8"/>
    <mergeCell ref="G8:I8"/>
    <mergeCell ref="G4:I4"/>
    <mergeCell ref="G5:I5"/>
    <mergeCell ref="A1:E2"/>
    <mergeCell ref="G3:I3"/>
    <mergeCell ref="G1:Z1"/>
    <mergeCell ref="B4:B7"/>
    <mergeCell ref="A4:A7"/>
    <mergeCell ref="C5:E5"/>
  </mergeCells>
  <pageMargins left="0.7" right="0.7" top="0.75" bottom="0.75"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1"/>
  <dimension ref="A1:AY53"/>
  <sheetViews>
    <sheetView showGridLines="0" topLeftCell="A7" zoomScale="55" zoomScaleNormal="55" workbookViewId="0">
      <selection activeCell="R24" sqref="R24"/>
    </sheetView>
  </sheetViews>
  <sheetFormatPr defaultRowHeight="14.5"/>
  <cols>
    <col min="1" max="1" width="21.6328125" customWidth="1"/>
    <col min="2" max="2" width="12.6328125" customWidth="1"/>
    <col min="3" max="3" width="10.08984375" customWidth="1"/>
    <col min="6" max="6" width="10.453125" customWidth="1"/>
    <col min="7" max="7" width="7.81640625" customWidth="1"/>
    <col min="8" max="8" width="7.6328125" customWidth="1"/>
    <col min="9" max="9" width="6.90625" customWidth="1"/>
    <col min="10" max="10" width="10.36328125" customWidth="1"/>
    <col min="11" max="11" width="7.6328125" customWidth="1"/>
    <col min="12" max="16" width="6.6328125" customWidth="1"/>
    <col min="17" max="17" width="7.36328125" customWidth="1"/>
    <col min="18" max="26" width="6.6328125" customWidth="1"/>
  </cols>
  <sheetData>
    <row r="1" spans="1:51" ht="18.5">
      <c r="A1" s="237" t="s">
        <v>155</v>
      </c>
      <c r="G1" s="741"/>
      <c r="H1" s="741"/>
      <c r="I1" s="741"/>
      <c r="J1" s="741"/>
      <c r="K1" s="741"/>
      <c r="L1" s="741"/>
      <c r="M1" s="741"/>
      <c r="N1" s="741"/>
      <c r="O1" s="741"/>
      <c r="P1" s="741"/>
      <c r="Q1" s="741"/>
      <c r="R1" s="741"/>
      <c r="S1" s="741"/>
      <c r="T1" s="741"/>
      <c r="U1" s="741"/>
      <c r="V1" s="741"/>
      <c r="W1" s="741"/>
      <c r="X1" s="741"/>
      <c r="Y1" s="741"/>
      <c r="Z1" s="741"/>
      <c r="AC1" s="152"/>
      <c r="AD1" s="152"/>
      <c r="AE1" s="152"/>
      <c r="AF1" s="152"/>
      <c r="AG1" s="152"/>
      <c r="AH1" s="152"/>
      <c r="AI1" s="152"/>
      <c r="AJ1" s="152"/>
      <c r="AK1" s="152"/>
      <c r="AL1" s="152"/>
      <c r="AM1" s="152"/>
      <c r="AN1" s="152"/>
      <c r="AO1" s="152"/>
      <c r="AP1" s="152"/>
      <c r="AQ1" s="152"/>
      <c r="AR1" s="152"/>
      <c r="AS1" s="152"/>
      <c r="AT1" s="152"/>
      <c r="AU1" s="152"/>
      <c r="AV1" s="152"/>
      <c r="AW1" s="152"/>
      <c r="AX1" s="152"/>
      <c r="AY1" s="152"/>
    </row>
    <row r="2" spans="1:51" ht="15.5">
      <c r="R2" s="113"/>
      <c r="S2" s="104"/>
      <c r="T2" s="104"/>
      <c r="U2" s="104"/>
      <c r="V2" s="104"/>
      <c r="W2" s="104"/>
      <c r="X2" s="104"/>
      <c r="Y2" s="104"/>
      <c r="Z2" s="104"/>
      <c r="AN2" s="113"/>
      <c r="AO2" s="104"/>
      <c r="AP2" s="104"/>
      <c r="AQ2" s="104"/>
      <c r="AR2" s="104"/>
      <c r="AS2" s="104"/>
      <c r="AT2" s="104"/>
      <c r="AU2" s="104"/>
      <c r="AV2" s="104"/>
      <c r="AW2" s="104"/>
      <c r="AX2" s="104"/>
      <c r="AY2" s="104"/>
    </row>
    <row r="3" spans="1:51" ht="52.5" customHeight="1">
      <c r="A3" s="1"/>
      <c r="C3" s="6"/>
      <c r="D3" s="6"/>
      <c r="E3" s="6"/>
      <c r="G3" s="710"/>
      <c r="H3" s="710"/>
      <c r="I3" s="710"/>
      <c r="J3" s="6"/>
      <c r="K3" s="7"/>
      <c r="L3" s="7"/>
      <c r="M3" s="7"/>
      <c r="O3" s="7"/>
      <c r="P3" s="7"/>
      <c r="Q3" s="7"/>
      <c r="S3" s="7"/>
      <c r="T3" s="7"/>
      <c r="U3" s="7"/>
      <c r="W3" s="7"/>
      <c r="X3" s="7"/>
      <c r="Y3" s="7"/>
      <c r="AC3" s="6"/>
      <c r="AD3" s="6"/>
      <c r="AE3" s="6"/>
      <c r="AF3" s="6"/>
      <c r="AG3" s="7"/>
      <c r="AH3" s="7"/>
      <c r="AI3" s="7"/>
      <c r="AK3" s="7"/>
      <c r="AL3" s="7"/>
      <c r="AM3" s="7"/>
      <c r="AO3" s="7"/>
      <c r="AP3" s="7"/>
      <c r="AQ3" s="7"/>
      <c r="AS3" s="7"/>
      <c r="AT3" s="7"/>
      <c r="AU3" s="7"/>
      <c r="AW3" s="7"/>
      <c r="AX3" s="7"/>
      <c r="AY3" s="7"/>
    </row>
    <row r="4" spans="1:51" ht="15" thickBot="1">
      <c r="A4" s="752" t="s">
        <v>63</v>
      </c>
      <c r="B4" s="752" t="s">
        <v>163</v>
      </c>
      <c r="C4" s="6"/>
      <c r="D4" s="6"/>
      <c r="E4" s="6"/>
      <c r="G4" s="583"/>
      <c r="H4" s="583"/>
      <c r="I4" s="583"/>
      <c r="K4" s="122"/>
      <c r="L4" s="122"/>
      <c r="M4" s="122"/>
      <c r="O4" s="122"/>
      <c r="P4" s="122"/>
      <c r="Q4" s="122"/>
      <c r="S4" s="122"/>
      <c r="T4" s="122"/>
      <c r="U4" s="122"/>
      <c r="W4" s="122"/>
      <c r="X4" s="122"/>
      <c r="Y4" s="122"/>
      <c r="AG4" s="122"/>
      <c r="AH4" s="122"/>
      <c r="AI4" s="122"/>
      <c r="AK4" s="122"/>
      <c r="AL4" s="122"/>
      <c r="AM4" s="122"/>
      <c r="AO4" s="122"/>
      <c r="AP4" s="122"/>
      <c r="AQ4" s="122"/>
      <c r="AS4" s="122"/>
      <c r="AT4" s="122"/>
      <c r="AU4" s="122"/>
      <c r="AW4" s="122"/>
      <c r="AX4" s="122"/>
      <c r="AY4" s="122"/>
    </row>
    <row r="5" spans="1:51" ht="41.5" customHeight="1">
      <c r="A5" s="752"/>
      <c r="B5" s="752"/>
      <c r="C5" s="742" t="s">
        <v>9</v>
      </c>
      <c r="D5" s="743"/>
      <c r="E5" s="744"/>
      <c r="G5" s="742" t="s">
        <v>9</v>
      </c>
      <c r="H5" s="743"/>
      <c r="I5" s="744"/>
      <c r="J5" s="6"/>
      <c r="K5" s="6"/>
      <c r="L5" s="6"/>
      <c r="M5" s="6"/>
      <c r="O5" s="6"/>
      <c r="P5" s="6"/>
      <c r="Q5" s="6"/>
      <c r="S5" s="6"/>
      <c r="T5" s="6"/>
      <c r="U5" s="6"/>
      <c r="W5" s="6"/>
      <c r="X5" s="6"/>
      <c r="Y5" s="6"/>
      <c r="AC5" s="6"/>
      <c r="AD5" s="6"/>
      <c r="AE5" s="6"/>
      <c r="AF5" s="6"/>
      <c r="AG5" s="6"/>
      <c r="AH5" s="6"/>
      <c r="AI5" s="6"/>
      <c r="AK5" s="6"/>
      <c r="AL5" s="6"/>
      <c r="AM5" s="6"/>
      <c r="AO5" s="6"/>
      <c r="AP5" s="6"/>
      <c r="AQ5" s="6"/>
      <c r="AS5" s="6"/>
      <c r="AT5" s="6"/>
      <c r="AU5" s="6"/>
      <c r="AW5" s="6"/>
      <c r="AX5" s="6"/>
      <c r="AY5" s="6"/>
    </row>
    <row r="6" spans="1:51" ht="41.5" customHeight="1">
      <c r="A6" s="752"/>
      <c r="B6" s="752"/>
      <c r="C6" s="351" t="s">
        <v>140</v>
      </c>
      <c r="D6" s="9" t="s">
        <v>1</v>
      </c>
      <c r="E6" s="352" t="s">
        <v>2</v>
      </c>
      <c r="G6" s="351" t="s">
        <v>140</v>
      </c>
      <c r="H6" s="9" t="s">
        <v>1</v>
      </c>
      <c r="I6" s="352" t="s">
        <v>2</v>
      </c>
      <c r="J6" s="6"/>
      <c r="K6" s="9"/>
      <c r="L6" s="9"/>
      <c r="M6" s="9"/>
      <c r="O6" s="9"/>
      <c r="P6" s="9"/>
      <c r="Q6" s="9"/>
      <c r="S6" s="9"/>
      <c r="T6" s="9"/>
      <c r="U6" s="9"/>
      <c r="W6" s="9"/>
      <c r="X6" s="9"/>
      <c r="Y6" s="9"/>
      <c r="AC6" s="9"/>
      <c r="AD6" s="9"/>
      <c r="AE6" s="9"/>
      <c r="AF6" s="6"/>
      <c r="AG6" s="9"/>
      <c r="AH6" s="9"/>
      <c r="AI6" s="9"/>
      <c r="AK6" s="9"/>
      <c r="AL6" s="9"/>
      <c r="AM6" s="9"/>
      <c r="AO6" s="9"/>
      <c r="AP6" s="9"/>
      <c r="AQ6" s="9"/>
      <c r="AS6" s="9"/>
      <c r="AT6" s="9"/>
      <c r="AU6" s="9"/>
      <c r="AW6" s="9"/>
      <c r="AX6" s="9"/>
      <c r="AY6" s="9"/>
    </row>
    <row r="7" spans="1:51">
      <c r="A7" s="752"/>
      <c r="B7" s="752"/>
      <c r="C7" s="567">
        <f>IF('Configuration Settings'!H17&gt;0,'Configuration Settings'!H17,'Configuration Settings'!J17)</f>
        <v>0.15</v>
      </c>
      <c r="D7" s="566">
        <f>IF('Configuration Settings'!H18&gt;0,'Configuration Settings'!H18,'Configuration Settings'!J18)</f>
        <v>0.16</v>
      </c>
      <c r="E7" s="568">
        <f>IF('Configuration Settings'!H19&gt;0,'Configuration Settings'!H19,'Configuration Settings'!J19)</f>
        <v>0.18</v>
      </c>
      <c r="G7" s="567">
        <f>C7</f>
        <v>0.15</v>
      </c>
      <c r="H7" s="566">
        <f t="shared" ref="H7:I7" si="0">D7</f>
        <v>0.16</v>
      </c>
      <c r="I7" s="568">
        <f t="shared" si="0"/>
        <v>0.18</v>
      </c>
      <c r="K7" s="7"/>
      <c r="L7" s="10"/>
      <c r="M7" s="7"/>
      <c r="O7" s="7"/>
      <c r="P7" s="10"/>
      <c r="Q7" s="7"/>
      <c r="S7" s="7"/>
      <c r="T7" s="10"/>
      <c r="U7" s="7"/>
      <c r="W7" s="7"/>
      <c r="X7" s="10"/>
      <c r="Y7" s="7"/>
      <c r="AC7" s="7"/>
      <c r="AD7" s="10"/>
      <c r="AE7" s="7"/>
      <c r="AG7" s="7"/>
      <c r="AH7" s="10"/>
      <c r="AI7" s="7"/>
      <c r="AK7" s="7"/>
      <c r="AL7" s="10"/>
      <c r="AM7" s="7"/>
      <c r="AO7" s="7"/>
      <c r="AP7" s="10"/>
      <c r="AQ7" s="7"/>
      <c r="AS7" s="7"/>
      <c r="AT7" s="10"/>
      <c r="AU7" s="7"/>
      <c r="AW7" s="7"/>
      <c r="AX7" s="10"/>
      <c r="AY7" s="7"/>
    </row>
    <row r="8" spans="1:51" ht="15" thickBot="1">
      <c r="A8" s="134"/>
      <c r="B8" s="9"/>
      <c r="C8" s="745" t="s">
        <v>4</v>
      </c>
      <c r="D8" s="746"/>
      <c r="E8" s="747"/>
      <c r="G8" s="748" t="s">
        <v>142</v>
      </c>
      <c r="H8" s="749"/>
      <c r="I8" s="750"/>
      <c r="K8" s="236"/>
      <c r="L8" s="236"/>
      <c r="M8" s="236"/>
      <c r="O8" s="236"/>
      <c r="P8" s="236"/>
      <c r="Q8" s="236"/>
      <c r="S8" s="236"/>
      <c r="T8" s="236"/>
      <c r="U8" s="236"/>
      <c r="W8" s="236"/>
      <c r="X8" s="236"/>
      <c r="Y8" s="236"/>
      <c r="AC8" s="7"/>
      <c r="AD8" s="10"/>
      <c r="AE8" s="7"/>
      <c r="AG8" s="7"/>
      <c r="AH8" s="10"/>
      <c r="AI8" s="7"/>
      <c r="AK8" s="7"/>
      <c r="AL8" s="10"/>
      <c r="AM8" s="7"/>
      <c r="AO8" s="7"/>
      <c r="AP8" s="10"/>
      <c r="AQ8" s="7"/>
      <c r="AS8" s="7"/>
      <c r="AT8" s="10"/>
      <c r="AU8" s="7"/>
      <c r="AW8" s="7"/>
      <c r="AX8" s="10"/>
      <c r="AY8" s="7"/>
    </row>
    <row r="9" spans="1:51">
      <c r="A9" s="218">
        <v>0.1</v>
      </c>
      <c r="B9" s="372">
        <v>0</v>
      </c>
      <c r="C9" s="129">
        <f t="shared" ref="C9:E10" si="1">$A$10*$B9*C$7</f>
        <v>0</v>
      </c>
      <c r="D9" s="124">
        <f t="shared" si="1"/>
        <v>0</v>
      </c>
      <c r="E9" s="130">
        <f t="shared" si="1"/>
        <v>0</v>
      </c>
      <c r="F9" s="125"/>
      <c r="G9" s="133">
        <f t="shared" ref="G9:I10" si="2">C9</f>
        <v>0</v>
      </c>
      <c r="H9" s="126">
        <f t="shared" si="2"/>
        <v>0</v>
      </c>
      <c r="I9" s="127">
        <f t="shared" si="2"/>
        <v>0</v>
      </c>
      <c r="K9" s="500"/>
      <c r="L9" s="500"/>
      <c r="M9" s="500"/>
      <c r="O9" s="500"/>
      <c r="P9" s="500"/>
      <c r="Q9" s="500"/>
      <c r="S9" s="500"/>
      <c r="T9" s="500"/>
      <c r="U9" s="500"/>
      <c r="W9" s="500"/>
      <c r="X9" s="500"/>
      <c r="Y9" s="500"/>
      <c r="AC9" s="7"/>
      <c r="AD9" s="10"/>
      <c r="AE9" s="7"/>
      <c r="AG9" s="7"/>
      <c r="AH9" s="10"/>
      <c r="AI9" s="7"/>
      <c r="AK9" s="7"/>
      <c r="AL9" s="10"/>
      <c r="AM9" s="7"/>
      <c r="AO9" s="7"/>
      <c r="AP9" s="10"/>
      <c r="AQ9" s="7"/>
      <c r="AS9" s="7"/>
      <c r="AT9" s="10"/>
      <c r="AU9" s="7"/>
      <c r="AW9" s="7"/>
      <c r="AX9" s="10"/>
      <c r="AY9" s="7"/>
    </row>
    <row r="10" spans="1:51">
      <c r="A10" s="219">
        <v>0.1</v>
      </c>
      <c r="B10" s="7">
        <v>0.1</v>
      </c>
      <c r="C10" s="107">
        <f t="shared" si="1"/>
        <v>1.5000000000000002E-3</v>
      </c>
      <c r="D10" s="8">
        <f t="shared" si="1"/>
        <v>1.6000000000000003E-3</v>
      </c>
      <c r="E10" s="131">
        <f t="shared" si="1"/>
        <v>1.8000000000000004E-3</v>
      </c>
      <c r="G10" s="114">
        <f t="shared" si="2"/>
        <v>1.5000000000000002E-3</v>
      </c>
      <c r="H10" s="5">
        <f t="shared" si="2"/>
        <v>1.6000000000000003E-3</v>
      </c>
      <c r="I10" s="108">
        <f t="shared" si="2"/>
        <v>1.8000000000000004E-3</v>
      </c>
      <c r="K10" s="5"/>
      <c r="L10" s="5"/>
      <c r="M10" s="5"/>
      <c r="O10" s="5"/>
      <c r="P10" s="5"/>
      <c r="Q10" s="5"/>
      <c r="S10" s="5"/>
      <c r="T10" s="5"/>
      <c r="U10" s="5"/>
      <c r="W10" s="5"/>
      <c r="X10" s="5"/>
      <c r="Y10" s="5"/>
      <c r="AC10" s="5"/>
      <c r="AD10" s="5"/>
      <c r="AE10" s="5"/>
      <c r="AG10" s="5"/>
      <c r="AH10" s="5"/>
      <c r="AI10" s="5"/>
      <c r="AK10" s="5"/>
      <c r="AL10" s="5"/>
      <c r="AM10" s="5"/>
      <c r="AO10" s="5"/>
      <c r="AP10" s="5"/>
      <c r="AQ10" s="5"/>
      <c r="AS10" s="5"/>
      <c r="AT10" s="5"/>
      <c r="AU10" s="5"/>
      <c r="AW10" s="5"/>
      <c r="AX10" s="5"/>
      <c r="AY10" s="5"/>
    </row>
    <row r="11" spans="1:51">
      <c r="A11" s="219">
        <v>0.1</v>
      </c>
      <c r="B11" s="7">
        <v>0.2</v>
      </c>
      <c r="C11" s="107">
        <f t="shared" ref="C11:E13" si="3">$A$10*$B11*C$7</f>
        <v>3.0000000000000005E-3</v>
      </c>
      <c r="D11" s="8">
        <f t="shared" si="3"/>
        <v>3.2000000000000006E-3</v>
      </c>
      <c r="E11" s="131">
        <f t="shared" si="3"/>
        <v>3.6000000000000008E-3</v>
      </c>
      <c r="G11" s="114">
        <f t="shared" ref="G11:I53" si="4">C11</f>
        <v>3.0000000000000005E-3</v>
      </c>
      <c r="H11" s="5">
        <f t="shared" si="4"/>
        <v>3.2000000000000006E-3</v>
      </c>
      <c r="I11" s="108">
        <f t="shared" si="4"/>
        <v>3.6000000000000008E-3</v>
      </c>
      <c r="K11" s="5"/>
      <c r="L11" s="5"/>
      <c r="M11" s="5"/>
      <c r="O11" s="5"/>
      <c r="P11" s="5"/>
      <c r="Q11" s="5"/>
      <c r="S11" s="5"/>
      <c r="T11" s="5"/>
      <c r="U11" s="5"/>
      <c r="W11" s="5"/>
      <c r="X11" s="5"/>
      <c r="Y11" s="5"/>
      <c r="AC11" s="5"/>
      <c r="AD11" s="5"/>
      <c r="AE11" s="5"/>
      <c r="AG11" s="5"/>
      <c r="AH11" s="5"/>
      <c r="AI11" s="5"/>
      <c r="AK11" s="5"/>
      <c r="AL11" s="5"/>
      <c r="AM11" s="5"/>
      <c r="AO11" s="5"/>
      <c r="AP11" s="5"/>
      <c r="AQ11" s="5"/>
      <c r="AS11" s="5"/>
      <c r="AT11" s="5"/>
      <c r="AU11" s="5"/>
      <c r="AW11" s="5"/>
      <c r="AX11" s="5"/>
      <c r="AY11" s="5"/>
    </row>
    <row r="12" spans="1:51">
      <c r="A12" s="219">
        <v>0.1</v>
      </c>
      <c r="B12" s="7">
        <v>0.3</v>
      </c>
      <c r="C12" s="107">
        <f t="shared" si="3"/>
        <v>4.4999999999999997E-3</v>
      </c>
      <c r="D12" s="8">
        <f t="shared" si="3"/>
        <v>4.7999999999999996E-3</v>
      </c>
      <c r="E12" s="131">
        <f t="shared" si="3"/>
        <v>5.3999999999999994E-3</v>
      </c>
      <c r="G12" s="114">
        <f t="shared" si="4"/>
        <v>4.4999999999999997E-3</v>
      </c>
      <c r="H12" s="5">
        <f t="shared" si="4"/>
        <v>4.7999999999999996E-3</v>
      </c>
      <c r="I12" s="108">
        <f t="shared" si="4"/>
        <v>5.3999999999999994E-3</v>
      </c>
      <c r="K12" s="5"/>
      <c r="L12" s="5"/>
      <c r="M12" s="5"/>
      <c r="O12" s="5"/>
      <c r="P12" s="5"/>
      <c r="Q12" s="5"/>
      <c r="S12" s="5"/>
      <c r="T12" s="5"/>
      <c r="U12" s="5"/>
      <c r="W12" s="5"/>
      <c r="X12" s="5"/>
      <c r="Y12" s="5"/>
      <c r="AC12" s="5"/>
      <c r="AD12" s="5"/>
      <c r="AE12" s="5"/>
      <c r="AG12" s="5"/>
      <c r="AH12" s="5"/>
      <c r="AI12" s="5"/>
      <c r="AK12" s="5"/>
      <c r="AL12" s="5"/>
      <c r="AM12" s="5"/>
      <c r="AO12" s="5"/>
      <c r="AP12" s="5"/>
      <c r="AQ12" s="5"/>
      <c r="AS12" s="5"/>
      <c r="AT12" s="5"/>
      <c r="AU12" s="5"/>
      <c r="AW12" s="5"/>
      <c r="AX12" s="5"/>
      <c r="AY12" s="5"/>
    </row>
    <row r="13" spans="1:51" ht="15" thickBot="1">
      <c r="A13" s="373">
        <v>0.1</v>
      </c>
      <c r="B13" s="128">
        <v>0.4</v>
      </c>
      <c r="C13" s="109">
        <f t="shared" si="3"/>
        <v>6.000000000000001E-3</v>
      </c>
      <c r="D13" s="110">
        <f t="shared" si="3"/>
        <v>6.4000000000000012E-3</v>
      </c>
      <c r="E13" s="132">
        <f t="shared" si="3"/>
        <v>7.2000000000000015E-3</v>
      </c>
      <c r="F13" s="87"/>
      <c r="G13" s="115">
        <f t="shared" si="4"/>
        <v>6.000000000000001E-3</v>
      </c>
      <c r="H13" s="111">
        <f t="shared" si="4"/>
        <v>6.4000000000000012E-3</v>
      </c>
      <c r="I13" s="112">
        <f t="shared" si="4"/>
        <v>7.2000000000000015E-3</v>
      </c>
      <c r="K13" s="5"/>
      <c r="L13" s="5"/>
      <c r="M13" s="5"/>
      <c r="O13" s="5"/>
      <c r="P13" s="5"/>
      <c r="Q13" s="5"/>
      <c r="S13" s="5"/>
      <c r="T13" s="5"/>
      <c r="U13" s="5"/>
      <c r="W13" s="5"/>
      <c r="X13" s="5"/>
      <c r="Y13" s="5"/>
      <c r="AC13" s="5"/>
      <c r="AD13" s="5"/>
      <c r="AE13" s="5"/>
      <c r="AG13" s="5"/>
      <c r="AH13" s="5"/>
      <c r="AI13" s="5"/>
      <c r="AK13" s="5"/>
      <c r="AL13" s="5"/>
      <c r="AM13" s="5"/>
      <c r="AO13" s="5"/>
      <c r="AP13" s="5"/>
      <c r="AQ13" s="5"/>
      <c r="AS13" s="5"/>
      <c r="AT13" s="5"/>
      <c r="AU13" s="5"/>
      <c r="AW13" s="5"/>
      <c r="AX13" s="5"/>
      <c r="AY13" s="5"/>
    </row>
    <row r="14" spans="1:51">
      <c r="A14" s="218">
        <v>0.2</v>
      </c>
      <c r="B14" s="372">
        <v>0</v>
      </c>
      <c r="C14" s="129">
        <f>$A$10*$B14*C$7</f>
        <v>0</v>
      </c>
      <c r="D14" s="124">
        <f>$A$10*$B14*D$7</f>
        <v>0</v>
      </c>
      <c r="E14" s="130">
        <f>$A$10*$B14*E$7</f>
        <v>0</v>
      </c>
      <c r="F14" s="125"/>
      <c r="G14" s="133">
        <f>C14</f>
        <v>0</v>
      </c>
      <c r="H14" s="126">
        <f>D14</f>
        <v>0</v>
      </c>
      <c r="I14" s="127">
        <f>E14</f>
        <v>0</v>
      </c>
      <c r="K14" s="5"/>
      <c r="L14" s="5"/>
      <c r="M14" s="5"/>
      <c r="O14" s="5"/>
      <c r="P14" s="5"/>
      <c r="Q14" s="5"/>
      <c r="S14" s="5"/>
      <c r="T14" s="5"/>
      <c r="U14" s="5"/>
      <c r="W14" s="5"/>
      <c r="X14" s="5"/>
      <c r="Y14" s="5"/>
      <c r="AC14" s="5"/>
      <c r="AD14" s="5"/>
      <c r="AE14" s="5"/>
      <c r="AG14" s="5"/>
      <c r="AH14" s="5"/>
      <c r="AI14" s="5"/>
      <c r="AK14" s="5"/>
      <c r="AL14" s="5"/>
      <c r="AM14" s="5"/>
      <c r="AO14" s="5"/>
      <c r="AP14" s="5"/>
      <c r="AQ14" s="5"/>
      <c r="AS14" s="5"/>
      <c r="AT14" s="5"/>
      <c r="AU14" s="5"/>
      <c r="AW14" s="5"/>
      <c r="AX14" s="5"/>
      <c r="AY14" s="5"/>
    </row>
    <row r="15" spans="1:51">
      <c r="A15" s="219">
        <v>0.2</v>
      </c>
      <c r="B15" s="7">
        <v>0.1</v>
      </c>
      <c r="C15" s="107">
        <f>$A$15*$B15*C$7</f>
        <v>3.0000000000000005E-3</v>
      </c>
      <c r="D15" s="8">
        <f>$A$15*$B15*D$7</f>
        <v>3.2000000000000006E-3</v>
      </c>
      <c r="E15" s="131">
        <f>$A$15*$B15*E$7</f>
        <v>3.6000000000000008E-3</v>
      </c>
      <c r="G15" s="114">
        <f t="shared" si="4"/>
        <v>3.0000000000000005E-3</v>
      </c>
      <c r="H15" s="5">
        <f t="shared" si="4"/>
        <v>3.2000000000000006E-3</v>
      </c>
      <c r="I15" s="108">
        <f t="shared" si="4"/>
        <v>3.6000000000000008E-3</v>
      </c>
      <c r="K15" s="5"/>
      <c r="L15" s="5"/>
      <c r="M15" s="5"/>
      <c r="O15" s="5"/>
      <c r="P15" s="5"/>
      <c r="Q15" s="5"/>
      <c r="S15" s="5"/>
      <c r="T15" s="5"/>
      <c r="U15" s="5"/>
      <c r="W15" s="5"/>
      <c r="X15" s="5"/>
      <c r="Y15" s="5"/>
      <c r="AC15" s="5"/>
      <c r="AD15" s="5"/>
      <c r="AE15" s="5"/>
      <c r="AG15" s="5"/>
      <c r="AH15" s="5"/>
      <c r="AI15" s="5"/>
      <c r="AK15" s="5"/>
      <c r="AL15" s="5"/>
      <c r="AM15" s="5"/>
      <c r="AO15" s="5"/>
      <c r="AP15" s="5"/>
      <c r="AQ15" s="5"/>
      <c r="AS15" s="5"/>
      <c r="AT15" s="5"/>
      <c r="AU15" s="5"/>
      <c r="AW15" s="5"/>
      <c r="AX15" s="5"/>
      <c r="AY15" s="5"/>
    </row>
    <row r="16" spans="1:51">
      <c r="A16" s="219">
        <v>0.2</v>
      </c>
      <c r="B16" s="7">
        <v>0.2</v>
      </c>
      <c r="C16" s="107">
        <f t="shared" ref="C16:E18" si="5">$A$15*$B16*C$7</f>
        <v>6.000000000000001E-3</v>
      </c>
      <c r="D16" s="8">
        <f t="shared" si="5"/>
        <v>6.4000000000000012E-3</v>
      </c>
      <c r="E16" s="131">
        <f t="shared" si="5"/>
        <v>7.2000000000000015E-3</v>
      </c>
      <c r="G16" s="114">
        <f t="shared" si="4"/>
        <v>6.000000000000001E-3</v>
      </c>
      <c r="H16" s="5">
        <f t="shared" si="4"/>
        <v>6.4000000000000012E-3</v>
      </c>
      <c r="I16" s="108">
        <f t="shared" si="4"/>
        <v>7.2000000000000015E-3</v>
      </c>
      <c r="K16" s="5"/>
      <c r="L16" s="5"/>
      <c r="M16" s="5"/>
      <c r="O16" s="5"/>
      <c r="P16" s="5"/>
      <c r="Q16" s="5"/>
      <c r="S16" s="5"/>
      <c r="T16" s="5"/>
      <c r="U16" s="5"/>
      <c r="W16" s="5"/>
      <c r="X16" s="5"/>
      <c r="Y16" s="5"/>
      <c r="AC16" s="5"/>
      <c r="AD16" s="5"/>
      <c r="AE16" s="5"/>
      <c r="AG16" s="5"/>
      <c r="AH16" s="5"/>
      <c r="AI16" s="5"/>
      <c r="AK16" s="5"/>
      <c r="AL16" s="5"/>
      <c r="AM16" s="5"/>
      <c r="AO16" s="5"/>
      <c r="AP16" s="5"/>
      <c r="AQ16" s="5"/>
      <c r="AS16" s="5"/>
      <c r="AT16" s="5"/>
      <c r="AU16" s="5"/>
      <c r="AW16" s="5"/>
      <c r="AX16" s="5"/>
      <c r="AY16" s="5"/>
    </row>
    <row r="17" spans="1:51">
      <c r="A17" s="219">
        <v>0.2</v>
      </c>
      <c r="B17" s="7">
        <v>0.3</v>
      </c>
      <c r="C17" s="107">
        <f t="shared" si="5"/>
        <v>8.9999999999999993E-3</v>
      </c>
      <c r="D17" s="8">
        <f t="shared" si="5"/>
        <v>9.5999999999999992E-3</v>
      </c>
      <c r="E17" s="131">
        <f t="shared" si="5"/>
        <v>1.0799999999999999E-2</v>
      </c>
      <c r="G17" s="114">
        <f t="shared" si="4"/>
        <v>8.9999999999999993E-3</v>
      </c>
      <c r="H17" s="5">
        <f t="shared" si="4"/>
        <v>9.5999999999999992E-3</v>
      </c>
      <c r="I17" s="108">
        <f t="shared" si="4"/>
        <v>1.0799999999999999E-2</v>
      </c>
      <c r="K17" s="5"/>
      <c r="L17" s="5"/>
      <c r="M17" s="5"/>
      <c r="O17" s="5"/>
      <c r="P17" s="5"/>
      <c r="Q17" s="5"/>
      <c r="S17" s="5"/>
      <c r="T17" s="5"/>
      <c r="U17" s="5"/>
      <c r="W17" s="5"/>
      <c r="X17" s="5"/>
      <c r="Y17" s="5"/>
      <c r="AC17" s="5"/>
      <c r="AD17" s="5"/>
      <c r="AE17" s="5"/>
      <c r="AG17" s="5"/>
      <c r="AH17" s="5"/>
      <c r="AI17" s="5"/>
      <c r="AK17" s="5"/>
      <c r="AL17" s="5"/>
      <c r="AM17" s="5"/>
      <c r="AO17" s="5"/>
      <c r="AP17" s="5"/>
      <c r="AQ17" s="5"/>
      <c r="AS17" s="5"/>
      <c r="AT17" s="5"/>
      <c r="AU17" s="5"/>
      <c r="AW17" s="5"/>
      <c r="AX17" s="5"/>
      <c r="AY17" s="5"/>
    </row>
    <row r="18" spans="1:51" ht="15" thickBot="1">
      <c r="A18" s="373">
        <v>0.2</v>
      </c>
      <c r="B18" s="128">
        <v>0.4</v>
      </c>
      <c r="C18" s="109">
        <f t="shared" si="5"/>
        <v>1.2000000000000002E-2</v>
      </c>
      <c r="D18" s="110">
        <f t="shared" si="5"/>
        <v>1.2800000000000002E-2</v>
      </c>
      <c r="E18" s="132">
        <f t="shared" si="5"/>
        <v>1.4400000000000003E-2</v>
      </c>
      <c r="F18" s="87"/>
      <c r="G18" s="115">
        <f t="shared" si="4"/>
        <v>1.2000000000000002E-2</v>
      </c>
      <c r="H18" s="111">
        <f t="shared" si="4"/>
        <v>1.2800000000000002E-2</v>
      </c>
      <c r="I18" s="112">
        <f t="shared" si="4"/>
        <v>1.4400000000000003E-2</v>
      </c>
      <c r="K18" s="5"/>
      <c r="L18" s="5"/>
      <c r="M18" s="5"/>
      <c r="O18" s="5"/>
      <c r="P18" s="5"/>
      <c r="Q18" s="5"/>
      <c r="S18" s="5"/>
      <c r="T18" s="5"/>
      <c r="U18" s="5"/>
      <c r="W18" s="5"/>
      <c r="X18" s="5"/>
      <c r="Y18" s="5"/>
      <c r="AC18" s="5"/>
      <c r="AD18" s="5"/>
      <c r="AE18" s="5"/>
      <c r="AG18" s="5"/>
      <c r="AH18" s="5"/>
      <c r="AI18" s="5"/>
      <c r="AK18" s="5"/>
      <c r="AL18" s="5"/>
      <c r="AM18" s="5"/>
      <c r="AO18" s="5"/>
      <c r="AP18" s="5"/>
      <c r="AQ18" s="5"/>
      <c r="AS18" s="5"/>
      <c r="AT18" s="5"/>
      <c r="AU18" s="5"/>
      <c r="AW18" s="5"/>
      <c r="AX18" s="5"/>
      <c r="AY18" s="5"/>
    </row>
    <row r="19" spans="1:51">
      <c r="A19" s="218">
        <v>0.3</v>
      </c>
      <c r="B19" s="372">
        <v>0</v>
      </c>
      <c r="C19" s="129">
        <f>$A$10*$B19*C$7</f>
        <v>0</v>
      </c>
      <c r="D19" s="124">
        <f>$A$10*$B19*D$7</f>
        <v>0</v>
      </c>
      <c r="E19" s="130">
        <f>$A$10*$B19*E$7</f>
        <v>0</v>
      </c>
      <c r="F19" s="125"/>
      <c r="G19" s="133">
        <f>C19</f>
        <v>0</v>
      </c>
      <c r="H19" s="126">
        <f>D19</f>
        <v>0</v>
      </c>
      <c r="I19" s="127">
        <f>E19</f>
        <v>0</v>
      </c>
      <c r="K19" s="5"/>
      <c r="L19" s="5"/>
      <c r="M19" s="5"/>
      <c r="O19" s="5"/>
      <c r="P19" s="5"/>
      <c r="Q19" s="5"/>
      <c r="S19" s="5"/>
      <c r="T19" s="5"/>
      <c r="U19" s="5"/>
      <c r="W19" s="5"/>
      <c r="X19" s="5"/>
      <c r="Y19" s="5"/>
      <c r="AC19" s="5"/>
      <c r="AD19" s="5"/>
      <c r="AE19" s="5"/>
      <c r="AG19" s="5"/>
      <c r="AH19" s="5"/>
      <c r="AI19" s="5"/>
      <c r="AK19" s="5"/>
      <c r="AL19" s="5"/>
      <c r="AM19" s="5"/>
      <c r="AO19" s="5"/>
      <c r="AP19" s="5"/>
      <c r="AQ19" s="5"/>
      <c r="AS19" s="5"/>
      <c r="AT19" s="5"/>
      <c r="AU19" s="5"/>
      <c r="AW19" s="5"/>
      <c r="AX19" s="5"/>
      <c r="AY19" s="5"/>
    </row>
    <row r="20" spans="1:51">
      <c r="A20" s="219">
        <v>0.3</v>
      </c>
      <c r="B20" s="7">
        <v>0.1</v>
      </c>
      <c r="C20" s="107">
        <f>$A$20*$B20*C$7</f>
        <v>4.4999999999999997E-3</v>
      </c>
      <c r="D20" s="8">
        <f>$A$20*$B20*D$7</f>
        <v>4.7999999999999996E-3</v>
      </c>
      <c r="E20" s="131">
        <f>$A$20*$B20*E$7</f>
        <v>5.3999999999999994E-3</v>
      </c>
      <c r="G20" s="114">
        <f t="shared" si="4"/>
        <v>4.4999999999999997E-3</v>
      </c>
      <c r="H20" s="5">
        <f t="shared" si="4"/>
        <v>4.7999999999999996E-3</v>
      </c>
      <c r="I20" s="108">
        <f t="shared" si="4"/>
        <v>5.3999999999999994E-3</v>
      </c>
      <c r="K20" s="5"/>
      <c r="L20" s="5"/>
      <c r="M20" s="5"/>
      <c r="O20" s="5"/>
      <c r="P20" s="5"/>
      <c r="Q20" s="5"/>
      <c r="S20" s="5"/>
      <c r="T20" s="5"/>
      <c r="U20" s="5"/>
      <c r="W20" s="5"/>
      <c r="X20" s="5"/>
      <c r="Y20" s="5"/>
      <c r="AC20" s="5"/>
      <c r="AD20" s="5"/>
      <c r="AE20" s="5"/>
      <c r="AG20" s="5"/>
      <c r="AH20" s="5"/>
      <c r="AI20" s="5"/>
      <c r="AK20" s="5"/>
      <c r="AL20" s="5"/>
      <c r="AM20" s="5"/>
      <c r="AO20" s="5"/>
      <c r="AP20" s="5"/>
      <c r="AQ20" s="5"/>
      <c r="AS20" s="5"/>
      <c r="AT20" s="5"/>
      <c r="AU20" s="5"/>
      <c r="AW20" s="5"/>
      <c r="AX20" s="5"/>
      <c r="AY20" s="5"/>
    </row>
    <row r="21" spans="1:51">
      <c r="A21" s="219">
        <v>0.3</v>
      </c>
      <c r="B21" s="7">
        <v>0.2</v>
      </c>
      <c r="C21" s="107">
        <f t="shared" ref="C21:E23" si="6">$A$20*$B21*C$7</f>
        <v>8.9999999999999993E-3</v>
      </c>
      <c r="D21" s="8">
        <f t="shared" si="6"/>
        <v>9.5999999999999992E-3</v>
      </c>
      <c r="E21" s="131">
        <f t="shared" si="6"/>
        <v>1.0799999999999999E-2</v>
      </c>
      <c r="G21" s="114">
        <f t="shared" si="4"/>
        <v>8.9999999999999993E-3</v>
      </c>
      <c r="H21" s="5">
        <f t="shared" si="4"/>
        <v>9.5999999999999992E-3</v>
      </c>
      <c r="I21" s="108">
        <f t="shared" si="4"/>
        <v>1.0799999999999999E-2</v>
      </c>
      <c r="K21" s="5"/>
      <c r="L21" s="5"/>
      <c r="M21" s="5"/>
      <c r="O21" s="5"/>
      <c r="P21" s="5"/>
      <c r="Q21" s="5"/>
      <c r="S21" s="5"/>
      <c r="T21" s="5"/>
      <c r="U21" s="5"/>
      <c r="W21" s="5"/>
      <c r="X21" s="5"/>
      <c r="Y21" s="5"/>
      <c r="AC21" s="5"/>
      <c r="AD21" s="5"/>
      <c r="AE21" s="5"/>
      <c r="AG21" s="5"/>
      <c r="AH21" s="5"/>
      <c r="AI21" s="5"/>
      <c r="AK21" s="5"/>
      <c r="AL21" s="5"/>
      <c r="AM21" s="5"/>
      <c r="AO21" s="5"/>
      <c r="AP21" s="5"/>
      <c r="AQ21" s="5"/>
      <c r="AS21" s="5"/>
      <c r="AT21" s="5"/>
      <c r="AU21" s="5"/>
      <c r="AW21" s="5"/>
      <c r="AX21" s="5"/>
      <c r="AY21" s="5"/>
    </row>
    <row r="22" spans="1:51">
      <c r="A22" s="219">
        <v>0.3</v>
      </c>
      <c r="B22" s="7">
        <v>0.3</v>
      </c>
      <c r="C22" s="107">
        <f t="shared" si="6"/>
        <v>1.35E-2</v>
      </c>
      <c r="D22" s="8">
        <f t="shared" si="6"/>
        <v>1.44E-2</v>
      </c>
      <c r="E22" s="131">
        <f t="shared" si="6"/>
        <v>1.6199999999999999E-2</v>
      </c>
      <c r="G22" s="114">
        <f t="shared" si="4"/>
        <v>1.35E-2</v>
      </c>
      <c r="H22" s="5">
        <f t="shared" si="4"/>
        <v>1.44E-2</v>
      </c>
      <c r="I22" s="108">
        <f t="shared" si="4"/>
        <v>1.6199999999999999E-2</v>
      </c>
      <c r="K22" s="5"/>
      <c r="L22" s="5"/>
      <c r="M22" s="5"/>
      <c r="O22" s="5"/>
      <c r="P22" s="5"/>
      <c r="Q22" s="5"/>
      <c r="S22" s="5"/>
      <c r="T22" s="5"/>
      <c r="U22" s="5"/>
      <c r="W22" s="5"/>
      <c r="X22" s="5"/>
      <c r="Y22" s="5"/>
      <c r="AC22" s="5"/>
      <c r="AD22" s="5"/>
      <c r="AE22" s="5"/>
      <c r="AG22" s="5"/>
      <c r="AH22" s="5"/>
      <c r="AI22" s="5"/>
      <c r="AK22" s="5"/>
      <c r="AL22" s="5"/>
      <c r="AM22" s="5"/>
      <c r="AO22" s="5"/>
      <c r="AP22" s="5"/>
      <c r="AQ22" s="5"/>
      <c r="AS22" s="5"/>
      <c r="AT22" s="5"/>
      <c r="AU22" s="5"/>
      <c r="AW22" s="5"/>
      <c r="AX22" s="5"/>
      <c r="AY22" s="5"/>
    </row>
    <row r="23" spans="1:51" ht="15" thickBot="1">
      <c r="A23" s="373">
        <v>0.3</v>
      </c>
      <c r="B23" s="128">
        <v>0.4</v>
      </c>
      <c r="C23" s="109">
        <f t="shared" si="6"/>
        <v>1.7999999999999999E-2</v>
      </c>
      <c r="D23" s="110">
        <f t="shared" si="6"/>
        <v>1.9199999999999998E-2</v>
      </c>
      <c r="E23" s="132">
        <f t="shared" si="6"/>
        <v>2.1599999999999998E-2</v>
      </c>
      <c r="F23" s="87"/>
      <c r="G23" s="115">
        <f t="shared" si="4"/>
        <v>1.7999999999999999E-2</v>
      </c>
      <c r="H23" s="111">
        <f t="shared" si="4"/>
        <v>1.9199999999999998E-2</v>
      </c>
      <c r="I23" s="112">
        <f t="shared" si="4"/>
        <v>2.1599999999999998E-2</v>
      </c>
      <c r="K23" s="5"/>
      <c r="L23" s="5"/>
      <c r="M23" s="5"/>
      <c r="O23" s="5"/>
      <c r="P23" s="5"/>
      <c r="Q23" s="5"/>
      <c r="S23" s="5"/>
      <c r="T23" s="5"/>
      <c r="U23" s="5"/>
      <c r="W23" s="5"/>
      <c r="X23" s="5"/>
      <c r="Y23" s="5"/>
      <c r="AC23" s="5"/>
      <c r="AD23" s="5"/>
      <c r="AE23" s="5"/>
      <c r="AG23" s="5"/>
      <c r="AH23" s="5"/>
      <c r="AI23" s="5"/>
      <c r="AK23" s="5"/>
      <c r="AL23" s="5"/>
      <c r="AM23" s="5"/>
      <c r="AO23" s="5"/>
      <c r="AP23" s="5"/>
      <c r="AQ23" s="5"/>
      <c r="AS23" s="5"/>
      <c r="AT23" s="5"/>
      <c r="AU23" s="5"/>
      <c r="AW23" s="5"/>
      <c r="AX23" s="5"/>
      <c r="AY23" s="5"/>
    </row>
    <row r="24" spans="1:51">
      <c r="A24" s="218">
        <v>0.4</v>
      </c>
      <c r="B24" s="372">
        <v>0</v>
      </c>
      <c r="C24" s="129">
        <f>$A$10*$B24*C$7</f>
        <v>0</v>
      </c>
      <c r="D24" s="124">
        <f>$A$10*$B24*D$7</f>
        <v>0</v>
      </c>
      <c r="E24" s="130">
        <f>$A$10*$B24*E$7</f>
        <v>0</v>
      </c>
      <c r="F24" s="125"/>
      <c r="G24" s="133">
        <f>C24</f>
        <v>0</v>
      </c>
      <c r="H24" s="126">
        <f>D24</f>
        <v>0</v>
      </c>
      <c r="I24" s="127">
        <f>E24</f>
        <v>0</v>
      </c>
      <c r="K24" s="5"/>
      <c r="L24" s="5"/>
      <c r="M24" s="5"/>
      <c r="O24" s="5"/>
      <c r="P24" s="5"/>
      <c r="Q24" s="5"/>
      <c r="S24" s="5"/>
      <c r="T24" s="5"/>
      <c r="U24" s="5"/>
      <c r="W24" s="5"/>
      <c r="X24" s="5"/>
      <c r="Y24" s="5"/>
      <c r="AC24" s="5"/>
      <c r="AD24" s="5"/>
      <c r="AE24" s="5"/>
      <c r="AG24" s="5"/>
      <c r="AH24" s="5"/>
      <c r="AI24" s="5"/>
      <c r="AK24" s="5"/>
      <c r="AL24" s="5"/>
      <c r="AM24" s="5"/>
      <c r="AO24" s="5"/>
      <c r="AP24" s="5"/>
      <c r="AQ24" s="5"/>
      <c r="AS24" s="5"/>
      <c r="AT24" s="5"/>
      <c r="AU24" s="5"/>
      <c r="AW24" s="5"/>
      <c r="AX24" s="5"/>
      <c r="AY24" s="5"/>
    </row>
    <row r="25" spans="1:51">
      <c r="A25" s="219">
        <v>0.4</v>
      </c>
      <c r="B25" s="7">
        <v>0.1</v>
      </c>
      <c r="C25" s="107">
        <f>$A$25*$B25*C$7</f>
        <v>6.000000000000001E-3</v>
      </c>
      <c r="D25" s="8">
        <f>$A$25*$B25*D$7</f>
        <v>6.4000000000000012E-3</v>
      </c>
      <c r="E25" s="131">
        <f>$A$25*$B25*E$7</f>
        <v>7.2000000000000015E-3</v>
      </c>
      <c r="G25" s="114">
        <f t="shared" si="4"/>
        <v>6.000000000000001E-3</v>
      </c>
      <c r="H25" s="5">
        <f t="shared" si="4"/>
        <v>6.4000000000000012E-3</v>
      </c>
      <c r="I25" s="108">
        <f t="shared" si="4"/>
        <v>7.2000000000000015E-3</v>
      </c>
      <c r="K25" s="5"/>
      <c r="L25" s="5"/>
      <c r="M25" s="5"/>
      <c r="O25" s="5"/>
      <c r="P25" s="5"/>
      <c r="Q25" s="5"/>
      <c r="S25" s="5"/>
      <c r="T25" s="5"/>
      <c r="U25" s="5"/>
      <c r="W25" s="5"/>
      <c r="X25" s="5"/>
      <c r="Y25" s="5"/>
      <c r="AC25" s="5"/>
      <c r="AD25" s="5"/>
      <c r="AE25" s="5"/>
      <c r="AG25" s="5"/>
      <c r="AH25" s="5"/>
      <c r="AI25" s="5"/>
      <c r="AK25" s="5"/>
      <c r="AL25" s="5"/>
      <c r="AM25" s="5"/>
      <c r="AO25" s="5"/>
      <c r="AP25" s="5"/>
      <c r="AQ25" s="5"/>
      <c r="AS25" s="5"/>
      <c r="AT25" s="5"/>
      <c r="AU25" s="5"/>
      <c r="AW25" s="5"/>
      <c r="AX25" s="5"/>
      <c r="AY25" s="5"/>
    </row>
    <row r="26" spans="1:51">
      <c r="A26" s="219">
        <v>0.4</v>
      </c>
      <c r="B26" s="7">
        <v>0.2</v>
      </c>
      <c r="C26" s="107">
        <f t="shared" ref="C26:E28" si="7">$A$25*$B26*C$7</f>
        <v>1.2000000000000002E-2</v>
      </c>
      <c r="D26" s="8">
        <f t="shared" si="7"/>
        <v>1.2800000000000002E-2</v>
      </c>
      <c r="E26" s="131">
        <f t="shared" si="7"/>
        <v>1.4400000000000003E-2</v>
      </c>
      <c r="G26" s="114">
        <f t="shared" si="4"/>
        <v>1.2000000000000002E-2</v>
      </c>
      <c r="H26" s="5">
        <f t="shared" si="4"/>
        <v>1.2800000000000002E-2</v>
      </c>
      <c r="I26" s="108">
        <f t="shared" si="4"/>
        <v>1.4400000000000003E-2</v>
      </c>
      <c r="K26" s="5"/>
      <c r="L26" s="5"/>
      <c r="M26" s="5"/>
      <c r="O26" s="5"/>
      <c r="P26" s="5"/>
      <c r="Q26" s="5"/>
      <c r="S26" s="5"/>
      <c r="T26" s="5"/>
      <c r="U26" s="5"/>
      <c r="W26" s="5"/>
      <c r="X26" s="5"/>
      <c r="Y26" s="5"/>
      <c r="AC26" s="5"/>
      <c r="AD26" s="5"/>
      <c r="AE26" s="5"/>
      <c r="AG26" s="5"/>
      <c r="AH26" s="5"/>
      <c r="AI26" s="5"/>
      <c r="AK26" s="5"/>
      <c r="AL26" s="5"/>
      <c r="AM26" s="5"/>
      <c r="AO26" s="5"/>
      <c r="AP26" s="5"/>
      <c r="AQ26" s="5"/>
      <c r="AS26" s="5"/>
      <c r="AT26" s="5"/>
      <c r="AU26" s="5"/>
      <c r="AW26" s="5"/>
      <c r="AX26" s="5"/>
      <c r="AY26" s="5"/>
    </row>
    <row r="27" spans="1:51">
      <c r="A27" s="219">
        <v>0.4</v>
      </c>
      <c r="B27" s="7">
        <v>0.3</v>
      </c>
      <c r="C27" s="107">
        <f t="shared" si="7"/>
        <v>1.7999999999999999E-2</v>
      </c>
      <c r="D27" s="8">
        <f t="shared" si="7"/>
        <v>1.9199999999999998E-2</v>
      </c>
      <c r="E27" s="131">
        <f t="shared" si="7"/>
        <v>2.1599999999999998E-2</v>
      </c>
      <c r="G27" s="114">
        <f t="shared" si="4"/>
        <v>1.7999999999999999E-2</v>
      </c>
      <c r="H27" s="5">
        <f t="shared" si="4"/>
        <v>1.9199999999999998E-2</v>
      </c>
      <c r="I27" s="108">
        <f t="shared" si="4"/>
        <v>2.1599999999999998E-2</v>
      </c>
      <c r="K27" s="5"/>
      <c r="L27" s="5"/>
      <c r="M27" s="5"/>
      <c r="O27" s="5"/>
      <c r="P27" s="5"/>
      <c r="Q27" s="5"/>
      <c r="S27" s="5"/>
      <c r="T27" s="5"/>
      <c r="U27" s="5"/>
      <c r="W27" s="5"/>
      <c r="X27" s="5"/>
      <c r="Y27" s="5"/>
      <c r="AC27" s="5"/>
      <c r="AD27" s="5"/>
      <c r="AE27" s="5"/>
      <c r="AG27" s="5"/>
      <c r="AH27" s="5"/>
      <c r="AI27" s="5"/>
      <c r="AK27" s="5"/>
      <c r="AL27" s="5"/>
      <c r="AM27" s="5"/>
      <c r="AO27" s="5"/>
      <c r="AP27" s="5"/>
      <c r="AQ27" s="5"/>
      <c r="AS27" s="5"/>
      <c r="AT27" s="5"/>
      <c r="AU27" s="5"/>
      <c r="AW27" s="5"/>
      <c r="AX27" s="5"/>
      <c r="AY27" s="5"/>
    </row>
    <row r="28" spans="1:51" ht="15" thickBot="1">
      <c r="A28" s="373">
        <v>0.4</v>
      </c>
      <c r="B28" s="128">
        <v>0.4</v>
      </c>
      <c r="C28" s="109">
        <f t="shared" si="7"/>
        <v>2.4000000000000004E-2</v>
      </c>
      <c r="D28" s="110">
        <f t="shared" si="7"/>
        <v>2.5600000000000005E-2</v>
      </c>
      <c r="E28" s="132">
        <f t="shared" si="7"/>
        <v>2.8800000000000006E-2</v>
      </c>
      <c r="F28" s="87"/>
      <c r="G28" s="115">
        <f t="shared" si="4"/>
        <v>2.4000000000000004E-2</v>
      </c>
      <c r="H28" s="111">
        <f t="shared" si="4"/>
        <v>2.5600000000000005E-2</v>
      </c>
      <c r="I28" s="112">
        <f t="shared" si="4"/>
        <v>2.8800000000000006E-2</v>
      </c>
      <c r="K28" s="5"/>
      <c r="L28" s="5"/>
      <c r="M28" s="5"/>
      <c r="O28" s="5"/>
      <c r="P28" s="5"/>
      <c r="Q28" s="5"/>
      <c r="S28" s="5"/>
      <c r="T28" s="5"/>
      <c r="U28" s="5"/>
      <c r="W28" s="5"/>
      <c r="X28" s="5"/>
      <c r="Y28" s="5"/>
      <c r="AC28" s="5"/>
      <c r="AD28" s="5"/>
      <c r="AE28" s="5"/>
      <c r="AG28" s="5"/>
      <c r="AH28" s="5"/>
      <c r="AI28" s="5"/>
      <c r="AK28" s="5"/>
      <c r="AL28" s="5"/>
      <c r="AM28" s="5"/>
      <c r="AO28" s="5"/>
      <c r="AP28" s="5"/>
      <c r="AQ28" s="5"/>
      <c r="AS28" s="5"/>
      <c r="AT28" s="5"/>
      <c r="AU28" s="5"/>
      <c r="AW28" s="5"/>
      <c r="AX28" s="5"/>
      <c r="AY28" s="5"/>
    </row>
    <row r="29" spans="1:51">
      <c r="A29" s="218">
        <v>0.5</v>
      </c>
      <c r="B29" s="372">
        <v>0</v>
      </c>
      <c r="C29" s="129">
        <f>$A$10*$B29*C$7</f>
        <v>0</v>
      </c>
      <c r="D29" s="124">
        <f>$A$10*$B29*D$7</f>
        <v>0</v>
      </c>
      <c r="E29" s="130">
        <f>$A$10*$B29*E$7</f>
        <v>0</v>
      </c>
      <c r="F29" s="125"/>
      <c r="G29" s="133">
        <f>C29</f>
        <v>0</v>
      </c>
      <c r="H29" s="126">
        <f>D29</f>
        <v>0</v>
      </c>
      <c r="I29" s="127">
        <f>E29</f>
        <v>0</v>
      </c>
      <c r="K29" s="5"/>
      <c r="L29" s="5"/>
      <c r="M29" s="5"/>
      <c r="O29" s="5"/>
      <c r="P29" s="5"/>
      <c r="Q29" s="5"/>
      <c r="S29" s="5"/>
      <c r="T29" s="5"/>
      <c r="U29" s="5"/>
      <c r="W29" s="5"/>
      <c r="X29" s="5"/>
      <c r="Y29" s="5"/>
      <c r="AC29" s="5"/>
      <c r="AD29" s="5"/>
      <c r="AE29" s="5"/>
      <c r="AG29" s="5"/>
      <c r="AH29" s="5"/>
      <c r="AI29" s="5"/>
      <c r="AK29" s="5"/>
      <c r="AL29" s="5"/>
      <c r="AM29" s="5"/>
      <c r="AO29" s="5"/>
      <c r="AP29" s="5"/>
      <c r="AQ29" s="5"/>
      <c r="AS29" s="5"/>
      <c r="AT29" s="5"/>
      <c r="AU29" s="5"/>
      <c r="AW29" s="5"/>
      <c r="AX29" s="5"/>
      <c r="AY29" s="5"/>
    </row>
    <row r="30" spans="1:51">
      <c r="A30" s="219">
        <v>0.5</v>
      </c>
      <c r="B30" s="7">
        <v>0.1</v>
      </c>
      <c r="C30" s="107">
        <f>$A$30*$B30*C$7</f>
        <v>7.4999999999999997E-3</v>
      </c>
      <c r="D30" s="8">
        <f t="shared" ref="D30:E33" si="8">$A$30*$B30*D$7</f>
        <v>8.0000000000000002E-3</v>
      </c>
      <c r="E30" s="131">
        <f t="shared" si="8"/>
        <v>8.9999999999999993E-3</v>
      </c>
      <c r="G30" s="114">
        <f t="shared" si="4"/>
        <v>7.4999999999999997E-3</v>
      </c>
      <c r="H30" s="5">
        <f t="shared" si="4"/>
        <v>8.0000000000000002E-3</v>
      </c>
      <c r="I30" s="108">
        <f t="shared" si="4"/>
        <v>8.9999999999999993E-3</v>
      </c>
      <c r="K30" s="5"/>
      <c r="L30" s="5"/>
      <c r="M30" s="5"/>
      <c r="O30" s="5"/>
      <c r="P30" s="5"/>
      <c r="Q30" s="5"/>
      <c r="S30" s="5"/>
      <c r="T30" s="5"/>
      <c r="U30" s="5"/>
      <c r="W30" s="5"/>
      <c r="X30" s="5"/>
      <c r="Y30" s="5"/>
    </row>
    <row r="31" spans="1:51">
      <c r="A31" s="219">
        <v>0.5</v>
      </c>
      <c r="B31" s="7">
        <v>0.2</v>
      </c>
      <c r="C31" s="107">
        <f t="shared" ref="C31:C33" si="9">$A$30*$B31*C$7</f>
        <v>1.4999999999999999E-2</v>
      </c>
      <c r="D31" s="8">
        <f t="shared" si="8"/>
        <v>1.6E-2</v>
      </c>
      <c r="E31" s="131">
        <f t="shared" si="8"/>
        <v>1.7999999999999999E-2</v>
      </c>
      <c r="G31" s="114">
        <f t="shared" si="4"/>
        <v>1.4999999999999999E-2</v>
      </c>
      <c r="H31" s="5">
        <f t="shared" si="4"/>
        <v>1.6E-2</v>
      </c>
      <c r="I31" s="108">
        <f t="shared" si="4"/>
        <v>1.7999999999999999E-2</v>
      </c>
      <c r="K31" s="5"/>
      <c r="L31" s="5"/>
      <c r="M31" s="5"/>
      <c r="O31" s="5"/>
      <c r="P31" s="5"/>
      <c r="Q31" s="5"/>
      <c r="S31" s="5"/>
      <c r="T31" s="5"/>
      <c r="U31" s="5"/>
      <c r="W31" s="5"/>
      <c r="X31" s="5"/>
      <c r="Y31" s="5"/>
    </row>
    <row r="32" spans="1:51">
      <c r="A32" s="219">
        <v>0.5</v>
      </c>
      <c r="B32" s="7">
        <v>0.3</v>
      </c>
      <c r="C32" s="107">
        <f t="shared" si="9"/>
        <v>2.2499999999999999E-2</v>
      </c>
      <c r="D32" s="8">
        <f t="shared" si="8"/>
        <v>2.4E-2</v>
      </c>
      <c r="E32" s="131">
        <f t="shared" si="8"/>
        <v>2.7E-2</v>
      </c>
      <c r="G32" s="114">
        <f t="shared" si="4"/>
        <v>2.2499999999999999E-2</v>
      </c>
      <c r="H32" s="5">
        <f t="shared" si="4"/>
        <v>2.4E-2</v>
      </c>
      <c r="I32" s="108">
        <f t="shared" si="4"/>
        <v>2.7E-2</v>
      </c>
      <c r="K32" s="5"/>
      <c r="L32" s="5"/>
      <c r="M32" s="5"/>
      <c r="O32" s="5"/>
      <c r="P32" s="5"/>
      <c r="Q32" s="5"/>
      <c r="S32" s="5"/>
      <c r="T32" s="5"/>
      <c r="U32" s="5"/>
      <c r="W32" s="5"/>
      <c r="X32" s="5"/>
      <c r="Y32" s="5"/>
    </row>
    <row r="33" spans="1:25" ht="15" thickBot="1">
      <c r="A33" s="373">
        <v>0.5</v>
      </c>
      <c r="B33" s="128">
        <v>0.4</v>
      </c>
      <c r="C33" s="109">
        <f t="shared" si="9"/>
        <v>0.03</v>
      </c>
      <c r="D33" s="110">
        <f t="shared" si="8"/>
        <v>3.2000000000000001E-2</v>
      </c>
      <c r="E33" s="132">
        <f t="shared" si="8"/>
        <v>3.5999999999999997E-2</v>
      </c>
      <c r="F33" s="87"/>
      <c r="G33" s="115">
        <f t="shared" si="4"/>
        <v>0.03</v>
      </c>
      <c r="H33" s="111">
        <f t="shared" si="4"/>
        <v>3.2000000000000001E-2</v>
      </c>
      <c r="I33" s="112">
        <f t="shared" si="4"/>
        <v>3.5999999999999997E-2</v>
      </c>
      <c r="K33" s="5"/>
      <c r="L33" s="5"/>
      <c r="M33" s="5"/>
      <c r="O33" s="5"/>
      <c r="P33" s="5"/>
      <c r="Q33" s="5"/>
      <c r="S33" s="5"/>
      <c r="T33" s="5"/>
      <c r="U33" s="5"/>
      <c r="W33" s="5"/>
      <c r="X33" s="5"/>
      <c r="Y33" s="5"/>
    </row>
    <row r="34" spans="1:25">
      <c r="A34" s="218">
        <v>0.6</v>
      </c>
      <c r="B34" s="372">
        <v>0</v>
      </c>
      <c r="C34" s="129">
        <f>$A$10*$B34*C$7</f>
        <v>0</v>
      </c>
      <c r="D34" s="124">
        <f>$A$10*$B34*D$7</f>
        <v>0</v>
      </c>
      <c r="E34" s="130">
        <f>$A$10*$B34*E$7</f>
        <v>0</v>
      </c>
      <c r="F34" s="125"/>
      <c r="G34" s="133">
        <f>C34</f>
        <v>0</v>
      </c>
      <c r="H34" s="126">
        <f>D34</f>
        <v>0</v>
      </c>
      <c r="I34" s="127">
        <f>E34</f>
        <v>0</v>
      </c>
      <c r="K34" s="5"/>
      <c r="L34" s="5"/>
      <c r="M34" s="5"/>
      <c r="O34" s="5"/>
      <c r="P34" s="5"/>
      <c r="Q34" s="5"/>
      <c r="S34" s="5"/>
      <c r="T34" s="5"/>
      <c r="U34" s="5"/>
      <c r="W34" s="5"/>
      <c r="X34" s="5"/>
      <c r="Y34" s="5"/>
    </row>
    <row r="35" spans="1:25">
      <c r="A35" s="219">
        <v>0.6</v>
      </c>
      <c r="B35" s="7">
        <v>0.1</v>
      </c>
      <c r="C35" s="107">
        <f>$A$35*$B35*C$7</f>
        <v>8.9999999999999993E-3</v>
      </c>
      <c r="D35" s="8">
        <f t="shared" ref="D35:E38" si="10">$A$35*$B35*D$7</f>
        <v>9.5999999999999992E-3</v>
      </c>
      <c r="E35" s="131">
        <f t="shared" si="10"/>
        <v>1.0799999999999999E-2</v>
      </c>
      <c r="G35" s="114">
        <f t="shared" si="4"/>
        <v>8.9999999999999993E-3</v>
      </c>
      <c r="H35" s="5">
        <f t="shared" si="4"/>
        <v>9.5999999999999992E-3</v>
      </c>
      <c r="I35" s="108">
        <f t="shared" si="4"/>
        <v>1.0799999999999999E-2</v>
      </c>
      <c r="K35" s="5"/>
      <c r="L35" s="5"/>
      <c r="M35" s="5"/>
      <c r="O35" s="5"/>
      <c r="P35" s="5"/>
      <c r="Q35" s="5"/>
      <c r="S35" s="5"/>
      <c r="T35" s="5"/>
      <c r="U35" s="5"/>
      <c r="W35" s="5"/>
      <c r="X35" s="5"/>
      <c r="Y35" s="5"/>
    </row>
    <row r="36" spans="1:25">
      <c r="A36" s="219">
        <v>0.6</v>
      </c>
      <c r="B36" s="7">
        <v>0.2</v>
      </c>
      <c r="C36" s="107">
        <f t="shared" ref="C36:C38" si="11">$A$35*$B36*C$7</f>
        <v>1.7999999999999999E-2</v>
      </c>
      <c r="D36" s="8">
        <f t="shared" si="10"/>
        <v>1.9199999999999998E-2</v>
      </c>
      <c r="E36" s="131">
        <f t="shared" si="10"/>
        <v>2.1599999999999998E-2</v>
      </c>
      <c r="G36" s="114">
        <f t="shared" si="4"/>
        <v>1.7999999999999999E-2</v>
      </c>
      <c r="H36" s="5">
        <f t="shared" si="4"/>
        <v>1.9199999999999998E-2</v>
      </c>
      <c r="I36" s="108">
        <f t="shared" si="4"/>
        <v>2.1599999999999998E-2</v>
      </c>
      <c r="K36" s="5"/>
      <c r="L36" s="5"/>
      <c r="M36" s="5"/>
      <c r="O36" s="5"/>
      <c r="P36" s="5"/>
      <c r="Q36" s="5"/>
      <c r="S36" s="5"/>
      <c r="T36" s="5"/>
      <c r="U36" s="5"/>
      <c r="W36" s="5"/>
      <c r="X36" s="5"/>
      <c r="Y36" s="5"/>
    </row>
    <row r="37" spans="1:25">
      <c r="A37" s="219">
        <v>0.6</v>
      </c>
      <c r="B37" s="7">
        <v>0.3</v>
      </c>
      <c r="C37" s="107">
        <f t="shared" si="11"/>
        <v>2.7E-2</v>
      </c>
      <c r="D37" s="8">
        <f t="shared" si="10"/>
        <v>2.8799999999999999E-2</v>
      </c>
      <c r="E37" s="131">
        <f t="shared" si="10"/>
        <v>3.2399999999999998E-2</v>
      </c>
      <c r="G37" s="114">
        <f t="shared" si="4"/>
        <v>2.7E-2</v>
      </c>
      <c r="H37" s="5">
        <f t="shared" si="4"/>
        <v>2.8799999999999999E-2</v>
      </c>
      <c r="I37" s="108">
        <f t="shared" si="4"/>
        <v>3.2399999999999998E-2</v>
      </c>
      <c r="K37" s="5"/>
      <c r="L37" s="5"/>
      <c r="M37" s="5"/>
      <c r="O37" s="5"/>
      <c r="P37" s="5"/>
      <c r="Q37" s="5"/>
      <c r="S37" s="5"/>
      <c r="T37" s="5"/>
      <c r="U37" s="5"/>
      <c r="W37" s="5"/>
      <c r="X37" s="5"/>
      <c r="Y37" s="5"/>
    </row>
    <row r="38" spans="1:25" ht="15" thickBot="1">
      <c r="A38" s="373">
        <v>0.6</v>
      </c>
      <c r="B38" s="128">
        <v>0.4</v>
      </c>
      <c r="C38" s="109">
        <f t="shared" si="11"/>
        <v>3.5999999999999997E-2</v>
      </c>
      <c r="D38" s="110">
        <f t="shared" si="10"/>
        <v>3.8399999999999997E-2</v>
      </c>
      <c r="E38" s="132">
        <f t="shared" si="10"/>
        <v>4.3199999999999995E-2</v>
      </c>
      <c r="F38" s="87"/>
      <c r="G38" s="115">
        <f t="shared" si="4"/>
        <v>3.5999999999999997E-2</v>
      </c>
      <c r="H38" s="111">
        <f t="shared" si="4"/>
        <v>3.8399999999999997E-2</v>
      </c>
      <c r="I38" s="112">
        <f t="shared" si="4"/>
        <v>4.3199999999999995E-2</v>
      </c>
      <c r="K38" s="5"/>
      <c r="L38" s="5"/>
      <c r="M38" s="5"/>
      <c r="O38" s="5"/>
      <c r="P38" s="5"/>
      <c r="Q38" s="5"/>
      <c r="S38" s="5"/>
      <c r="T38" s="5"/>
      <c r="U38" s="5"/>
      <c r="W38" s="5"/>
      <c r="X38" s="5"/>
      <c r="Y38" s="5"/>
    </row>
    <row r="39" spans="1:25">
      <c r="A39" s="218">
        <v>0.7</v>
      </c>
      <c r="B39" s="372">
        <v>0</v>
      </c>
      <c r="C39" s="129">
        <f>$A$10*$B39*C$7</f>
        <v>0</v>
      </c>
      <c r="D39" s="124">
        <f>$A$10*$B39*D$7</f>
        <v>0</v>
      </c>
      <c r="E39" s="130">
        <f>$A$10*$B39*E$7</f>
        <v>0</v>
      </c>
      <c r="F39" s="125"/>
      <c r="G39" s="133">
        <f>C39</f>
        <v>0</v>
      </c>
      <c r="H39" s="126">
        <f>D39</f>
        <v>0</v>
      </c>
      <c r="I39" s="127">
        <f>E39</f>
        <v>0</v>
      </c>
      <c r="K39" s="5"/>
      <c r="L39" s="5"/>
      <c r="M39" s="5"/>
      <c r="O39" s="5"/>
      <c r="P39" s="5"/>
      <c r="Q39" s="5"/>
      <c r="S39" s="5"/>
      <c r="T39" s="5"/>
      <c r="U39" s="5"/>
      <c r="W39" s="5"/>
      <c r="X39" s="5"/>
      <c r="Y39" s="5"/>
    </row>
    <row r="40" spans="1:25">
      <c r="A40" s="219">
        <v>0.7</v>
      </c>
      <c r="B40" s="7">
        <v>0.1</v>
      </c>
      <c r="C40" s="107">
        <f>$A$40*$B40*C$7</f>
        <v>1.0499999999999999E-2</v>
      </c>
      <c r="D40" s="8">
        <f t="shared" ref="D40:E43" si="12">$A$40*$B40*D$7</f>
        <v>1.12E-2</v>
      </c>
      <c r="E40" s="131">
        <f t="shared" si="12"/>
        <v>1.2599999999999998E-2</v>
      </c>
      <c r="G40" s="114">
        <f t="shared" si="4"/>
        <v>1.0499999999999999E-2</v>
      </c>
      <c r="H40" s="5">
        <f t="shared" si="4"/>
        <v>1.12E-2</v>
      </c>
      <c r="I40" s="108">
        <f t="shared" si="4"/>
        <v>1.2599999999999998E-2</v>
      </c>
      <c r="K40" s="5"/>
      <c r="L40" s="5"/>
      <c r="M40" s="5"/>
      <c r="O40" s="5"/>
      <c r="P40" s="5"/>
      <c r="Q40" s="5"/>
      <c r="S40" s="5"/>
      <c r="T40" s="5"/>
      <c r="U40" s="5"/>
      <c r="W40" s="5"/>
      <c r="X40" s="5"/>
      <c r="Y40" s="5"/>
    </row>
    <row r="41" spans="1:25">
      <c r="A41" s="219">
        <v>0.7</v>
      </c>
      <c r="B41" s="7">
        <v>0.2</v>
      </c>
      <c r="C41" s="107">
        <f t="shared" ref="C41:C43" si="13">$A$40*$B41*C$7</f>
        <v>2.0999999999999998E-2</v>
      </c>
      <c r="D41" s="8">
        <f t="shared" si="12"/>
        <v>2.24E-2</v>
      </c>
      <c r="E41" s="131">
        <f t="shared" si="12"/>
        <v>2.5199999999999997E-2</v>
      </c>
      <c r="G41" s="114">
        <f t="shared" si="4"/>
        <v>2.0999999999999998E-2</v>
      </c>
      <c r="H41" s="5">
        <f t="shared" si="4"/>
        <v>2.24E-2</v>
      </c>
      <c r="I41" s="108">
        <f t="shared" si="4"/>
        <v>2.5199999999999997E-2</v>
      </c>
      <c r="K41" s="5"/>
      <c r="L41" s="5"/>
      <c r="M41" s="5"/>
      <c r="O41" s="5"/>
      <c r="P41" s="5"/>
      <c r="Q41" s="5"/>
      <c r="S41" s="5"/>
      <c r="T41" s="5"/>
      <c r="U41" s="5"/>
      <c r="W41" s="5"/>
      <c r="X41" s="5"/>
      <c r="Y41" s="5"/>
    </row>
    <row r="42" spans="1:25">
      <c r="A42" s="219">
        <v>0.7</v>
      </c>
      <c r="B42" s="7">
        <v>0.3</v>
      </c>
      <c r="C42" s="107">
        <f t="shared" si="13"/>
        <v>3.15E-2</v>
      </c>
      <c r="D42" s="8">
        <f t="shared" si="12"/>
        <v>3.3599999999999998E-2</v>
      </c>
      <c r="E42" s="131">
        <f t="shared" si="12"/>
        <v>3.78E-2</v>
      </c>
      <c r="G42" s="114">
        <f t="shared" si="4"/>
        <v>3.15E-2</v>
      </c>
      <c r="H42" s="5">
        <f t="shared" si="4"/>
        <v>3.3599999999999998E-2</v>
      </c>
      <c r="I42" s="108">
        <f t="shared" si="4"/>
        <v>3.78E-2</v>
      </c>
      <c r="K42" s="5"/>
      <c r="L42" s="5"/>
      <c r="M42" s="5"/>
      <c r="O42" s="5"/>
      <c r="P42" s="5"/>
      <c r="Q42" s="5"/>
      <c r="S42" s="5"/>
      <c r="T42" s="5"/>
      <c r="U42" s="5"/>
      <c r="W42" s="5"/>
      <c r="X42" s="5"/>
      <c r="Y42" s="5"/>
    </row>
    <row r="43" spans="1:25" ht="15" thickBot="1">
      <c r="A43" s="373">
        <v>0.7</v>
      </c>
      <c r="B43" s="128">
        <v>0.4</v>
      </c>
      <c r="C43" s="109">
        <f t="shared" si="13"/>
        <v>4.1999999999999996E-2</v>
      </c>
      <c r="D43" s="110">
        <f t="shared" si="12"/>
        <v>4.48E-2</v>
      </c>
      <c r="E43" s="132">
        <f t="shared" si="12"/>
        <v>5.0399999999999993E-2</v>
      </c>
      <c r="F43" s="87"/>
      <c r="G43" s="115">
        <f t="shared" si="4"/>
        <v>4.1999999999999996E-2</v>
      </c>
      <c r="H43" s="111">
        <f t="shared" si="4"/>
        <v>4.48E-2</v>
      </c>
      <c r="I43" s="112">
        <f t="shared" si="4"/>
        <v>5.0399999999999993E-2</v>
      </c>
      <c r="K43" s="5"/>
      <c r="L43" s="5"/>
      <c r="M43" s="5"/>
      <c r="O43" s="5"/>
      <c r="P43" s="5"/>
      <c r="Q43" s="5"/>
      <c r="S43" s="5"/>
      <c r="T43" s="5"/>
      <c r="U43" s="5"/>
      <c r="W43" s="5"/>
      <c r="X43" s="5"/>
      <c r="Y43" s="5"/>
    </row>
    <row r="44" spans="1:25">
      <c r="A44" s="218">
        <v>0.8</v>
      </c>
      <c r="B44" s="372">
        <v>0</v>
      </c>
      <c r="C44" s="129">
        <f>$A$10*$B44*C$7</f>
        <v>0</v>
      </c>
      <c r="D44" s="124">
        <f>$A$10*$B44*D$7</f>
        <v>0</v>
      </c>
      <c r="E44" s="130">
        <f>$A$10*$B44*E$7</f>
        <v>0</v>
      </c>
      <c r="F44" s="125"/>
      <c r="G44" s="133">
        <f>C44</f>
        <v>0</v>
      </c>
      <c r="H44" s="126">
        <f>D44</f>
        <v>0</v>
      </c>
      <c r="I44" s="127">
        <f>E44</f>
        <v>0</v>
      </c>
      <c r="K44" s="5"/>
      <c r="L44" s="5"/>
      <c r="M44" s="5"/>
      <c r="O44" s="5"/>
      <c r="P44" s="5"/>
      <c r="Q44" s="5"/>
      <c r="S44" s="5"/>
      <c r="T44" s="5"/>
      <c r="U44" s="5"/>
      <c r="W44" s="5"/>
      <c r="X44" s="5"/>
      <c r="Y44" s="5"/>
    </row>
    <row r="45" spans="1:25">
      <c r="A45" s="219">
        <v>0.8</v>
      </c>
      <c r="B45" s="7">
        <v>0.1</v>
      </c>
      <c r="C45" s="107">
        <f>$A$45*$B45*C$7</f>
        <v>1.2000000000000002E-2</v>
      </c>
      <c r="D45" s="8">
        <f t="shared" ref="D45:E48" si="14">$A$45*$B45*D$7</f>
        <v>1.2800000000000002E-2</v>
      </c>
      <c r="E45" s="131">
        <f t="shared" si="14"/>
        <v>1.4400000000000003E-2</v>
      </c>
      <c r="G45" s="114">
        <f t="shared" si="4"/>
        <v>1.2000000000000002E-2</v>
      </c>
      <c r="H45" s="5">
        <f t="shared" si="4"/>
        <v>1.2800000000000002E-2</v>
      </c>
      <c r="I45" s="108">
        <f t="shared" si="4"/>
        <v>1.4400000000000003E-2</v>
      </c>
      <c r="K45" s="5"/>
      <c r="L45" s="5"/>
      <c r="M45" s="5"/>
      <c r="O45" s="5"/>
      <c r="P45" s="5"/>
      <c r="Q45" s="5"/>
      <c r="S45" s="5"/>
      <c r="T45" s="5"/>
      <c r="U45" s="5"/>
      <c r="W45" s="5"/>
      <c r="X45" s="5"/>
      <c r="Y45" s="5"/>
    </row>
    <row r="46" spans="1:25">
      <c r="A46" s="219">
        <v>0.8</v>
      </c>
      <c r="B46" s="7">
        <v>0.2</v>
      </c>
      <c r="C46" s="107">
        <f t="shared" ref="C46:C48" si="15">$A$45*$B46*C$7</f>
        <v>2.4000000000000004E-2</v>
      </c>
      <c r="D46" s="8">
        <f t="shared" si="14"/>
        <v>2.5600000000000005E-2</v>
      </c>
      <c r="E46" s="131">
        <f t="shared" si="14"/>
        <v>2.8800000000000006E-2</v>
      </c>
      <c r="G46" s="114">
        <f t="shared" si="4"/>
        <v>2.4000000000000004E-2</v>
      </c>
      <c r="H46" s="5">
        <f t="shared" si="4"/>
        <v>2.5600000000000005E-2</v>
      </c>
      <c r="I46" s="108">
        <f t="shared" si="4"/>
        <v>2.8800000000000006E-2</v>
      </c>
      <c r="K46" s="5"/>
      <c r="L46" s="5"/>
      <c r="M46" s="5"/>
      <c r="O46" s="5"/>
      <c r="P46" s="5"/>
      <c r="Q46" s="5"/>
      <c r="S46" s="5"/>
      <c r="T46" s="5"/>
      <c r="U46" s="5"/>
      <c r="W46" s="5"/>
      <c r="X46" s="5"/>
      <c r="Y46" s="5"/>
    </row>
    <row r="47" spans="1:25">
      <c r="A47" s="219">
        <v>0.8</v>
      </c>
      <c r="B47" s="7">
        <v>0.3</v>
      </c>
      <c r="C47" s="107">
        <f t="shared" si="15"/>
        <v>3.5999999999999997E-2</v>
      </c>
      <c r="D47" s="8">
        <f t="shared" si="14"/>
        <v>3.8399999999999997E-2</v>
      </c>
      <c r="E47" s="131">
        <f t="shared" si="14"/>
        <v>4.3199999999999995E-2</v>
      </c>
      <c r="G47" s="114">
        <f t="shared" si="4"/>
        <v>3.5999999999999997E-2</v>
      </c>
      <c r="H47" s="5">
        <f t="shared" si="4"/>
        <v>3.8399999999999997E-2</v>
      </c>
      <c r="I47" s="108">
        <f t="shared" si="4"/>
        <v>4.3199999999999995E-2</v>
      </c>
      <c r="K47" s="5"/>
      <c r="L47" s="5"/>
      <c r="M47" s="5"/>
      <c r="O47" s="5"/>
      <c r="P47" s="5"/>
      <c r="Q47" s="5"/>
      <c r="S47" s="5"/>
      <c r="T47" s="5"/>
      <c r="U47" s="5"/>
      <c r="W47" s="5"/>
      <c r="X47" s="5"/>
      <c r="Y47" s="5"/>
    </row>
    <row r="48" spans="1:25" ht="15" thickBot="1">
      <c r="A48" s="373">
        <v>0.8</v>
      </c>
      <c r="B48" s="128">
        <v>0.4</v>
      </c>
      <c r="C48" s="109">
        <f t="shared" si="15"/>
        <v>4.8000000000000008E-2</v>
      </c>
      <c r="D48" s="110">
        <f t="shared" si="14"/>
        <v>5.1200000000000009E-2</v>
      </c>
      <c r="E48" s="132">
        <f t="shared" si="14"/>
        <v>5.7600000000000012E-2</v>
      </c>
      <c r="F48" s="87"/>
      <c r="G48" s="115">
        <f t="shared" si="4"/>
        <v>4.8000000000000008E-2</v>
      </c>
      <c r="H48" s="111">
        <f t="shared" si="4"/>
        <v>5.1200000000000009E-2</v>
      </c>
      <c r="I48" s="112">
        <f t="shared" si="4"/>
        <v>5.7600000000000012E-2</v>
      </c>
      <c r="K48" s="5"/>
      <c r="L48" s="5"/>
      <c r="M48" s="5"/>
      <c r="O48" s="5"/>
      <c r="P48" s="5"/>
      <c r="Q48" s="5"/>
      <c r="S48" s="5"/>
      <c r="T48" s="5"/>
      <c r="U48" s="5"/>
      <c r="W48" s="5"/>
      <c r="X48" s="5"/>
      <c r="Y48" s="5"/>
    </row>
    <row r="49" spans="1:25">
      <c r="A49" s="218">
        <v>0.9</v>
      </c>
      <c r="B49" s="372">
        <v>0</v>
      </c>
      <c r="C49" s="129">
        <f>$A$10*$B49*C$7</f>
        <v>0</v>
      </c>
      <c r="D49" s="124">
        <f>$A$10*$B49*D$7</f>
        <v>0</v>
      </c>
      <c r="E49" s="130">
        <f>$A$10*$B49*E$7</f>
        <v>0</v>
      </c>
      <c r="F49" s="125"/>
      <c r="G49" s="133">
        <f>C49</f>
        <v>0</v>
      </c>
      <c r="H49" s="126">
        <f>D49</f>
        <v>0</v>
      </c>
      <c r="I49" s="127">
        <f>E49</f>
        <v>0</v>
      </c>
      <c r="K49" s="5"/>
      <c r="L49" s="5"/>
      <c r="M49" s="5"/>
      <c r="O49" s="5"/>
      <c r="P49" s="5"/>
      <c r="Q49" s="5"/>
      <c r="S49" s="5"/>
      <c r="T49" s="5"/>
      <c r="U49" s="5"/>
      <c r="W49" s="5"/>
      <c r="X49" s="5"/>
      <c r="Y49" s="5"/>
    </row>
    <row r="50" spans="1:25">
      <c r="A50" s="219">
        <v>0.9</v>
      </c>
      <c r="B50" s="7">
        <v>0.1</v>
      </c>
      <c r="C50" s="107">
        <f t="shared" ref="C50:E53" si="16">$A$50*$B50*C$7</f>
        <v>1.3500000000000002E-2</v>
      </c>
      <c r="D50" s="8">
        <f t="shared" si="16"/>
        <v>1.4400000000000001E-2</v>
      </c>
      <c r="E50" s="131">
        <f t="shared" si="16"/>
        <v>1.6200000000000003E-2</v>
      </c>
      <c r="G50" s="114">
        <f t="shared" si="4"/>
        <v>1.3500000000000002E-2</v>
      </c>
      <c r="H50" s="5">
        <f t="shared" si="4"/>
        <v>1.4400000000000001E-2</v>
      </c>
      <c r="I50" s="108">
        <f t="shared" si="4"/>
        <v>1.6200000000000003E-2</v>
      </c>
      <c r="K50" s="5"/>
      <c r="L50" s="5"/>
      <c r="M50" s="5"/>
      <c r="O50" s="5"/>
      <c r="P50" s="5"/>
      <c r="Q50" s="5"/>
      <c r="S50" s="5"/>
      <c r="T50" s="5"/>
      <c r="U50" s="5"/>
      <c r="W50" s="5"/>
      <c r="X50" s="5"/>
      <c r="Y50" s="5"/>
    </row>
    <row r="51" spans="1:25">
      <c r="A51" s="219">
        <v>0.9</v>
      </c>
      <c r="B51" s="7">
        <v>0.2</v>
      </c>
      <c r="C51" s="107">
        <f t="shared" si="16"/>
        <v>2.7000000000000003E-2</v>
      </c>
      <c r="D51" s="8">
        <f t="shared" si="16"/>
        <v>2.8800000000000003E-2</v>
      </c>
      <c r="E51" s="131">
        <f t="shared" si="16"/>
        <v>3.2400000000000005E-2</v>
      </c>
      <c r="G51" s="114">
        <f t="shared" si="4"/>
        <v>2.7000000000000003E-2</v>
      </c>
      <c r="H51" s="5">
        <f t="shared" si="4"/>
        <v>2.8800000000000003E-2</v>
      </c>
      <c r="I51" s="108">
        <f t="shared" si="4"/>
        <v>3.2400000000000005E-2</v>
      </c>
      <c r="K51" s="5"/>
      <c r="L51" s="5"/>
      <c r="M51" s="5"/>
      <c r="O51" s="5"/>
      <c r="P51" s="5"/>
      <c r="Q51" s="5"/>
      <c r="S51" s="5"/>
      <c r="T51" s="5"/>
      <c r="U51" s="5"/>
      <c r="W51" s="5"/>
      <c r="X51" s="5"/>
      <c r="Y51" s="5"/>
    </row>
    <row r="52" spans="1:25">
      <c r="A52" s="219">
        <v>0.9</v>
      </c>
      <c r="B52" s="7">
        <v>0.3</v>
      </c>
      <c r="C52" s="107">
        <f t="shared" si="16"/>
        <v>4.0500000000000001E-2</v>
      </c>
      <c r="D52" s="8">
        <f t="shared" si="16"/>
        <v>4.3200000000000002E-2</v>
      </c>
      <c r="E52" s="131">
        <f t="shared" si="16"/>
        <v>4.8600000000000004E-2</v>
      </c>
      <c r="G52" s="114">
        <f t="shared" si="4"/>
        <v>4.0500000000000001E-2</v>
      </c>
      <c r="H52" s="5">
        <f t="shared" si="4"/>
        <v>4.3200000000000002E-2</v>
      </c>
      <c r="I52" s="108">
        <f t="shared" si="4"/>
        <v>4.8600000000000004E-2</v>
      </c>
      <c r="K52" s="5"/>
      <c r="L52" s="5"/>
      <c r="M52" s="5"/>
      <c r="O52" s="5"/>
      <c r="P52" s="5"/>
      <c r="Q52" s="5"/>
      <c r="S52" s="5"/>
      <c r="T52" s="5"/>
      <c r="U52" s="5"/>
      <c r="W52" s="5"/>
      <c r="X52" s="5"/>
      <c r="Y52" s="5"/>
    </row>
    <row r="53" spans="1:25" ht="15" thickBot="1">
      <c r="A53" s="373">
        <v>0.9</v>
      </c>
      <c r="B53" s="128">
        <v>0.4</v>
      </c>
      <c r="C53" s="109">
        <f t="shared" si="16"/>
        <v>5.4000000000000006E-2</v>
      </c>
      <c r="D53" s="110">
        <f t="shared" si="16"/>
        <v>5.7600000000000005E-2</v>
      </c>
      <c r="E53" s="132">
        <f t="shared" si="16"/>
        <v>6.480000000000001E-2</v>
      </c>
      <c r="F53" s="87"/>
      <c r="G53" s="115">
        <f t="shared" si="4"/>
        <v>5.4000000000000006E-2</v>
      </c>
      <c r="H53" s="111">
        <f t="shared" si="4"/>
        <v>5.7600000000000005E-2</v>
      </c>
      <c r="I53" s="112">
        <f t="shared" si="4"/>
        <v>6.480000000000001E-2</v>
      </c>
      <c r="K53" s="5"/>
      <c r="L53" s="5"/>
      <c r="M53" s="5"/>
      <c r="O53" s="5"/>
      <c r="P53" s="5"/>
      <c r="Q53" s="5"/>
      <c r="S53" s="5"/>
      <c r="T53" s="5"/>
      <c r="U53" s="5"/>
      <c r="W53" s="5"/>
      <c r="X53" s="5"/>
      <c r="Y53" s="5"/>
    </row>
  </sheetData>
  <mergeCells count="9">
    <mergeCell ref="A4:A7"/>
    <mergeCell ref="B4:B7"/>
    <mergeCell ref="G4:I4"/>
    <mergeCell ref="G1:Z1"/>
    <mergeCell ref="G3:I3"/>
    <mergeCell ref="C5:E5"/>
    <mergeCell ref="G5:I5"/>
    <mergeCell ref="C8:E8"/>
    <mergeCell ref="G8:I8"/>
  </mergeCells>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1"/>
  <dimension ref="A1:AY57"/>
  <sheetViews>
    <sheetView showGridLines="0" zoomScale="55" zoomScaleNormal="55" workbookViewId="0">
      <selection activeCell="Q14" sqref="Q14"/>
    </sheetView>
  </sheetViews>
  <sheetFormatPr defaultRowHeight="14.5"/>
  <cols>
    <col min="1" max="1" width="21.6328125" customWidth="1"/>
    <col min="2" max="2" width="16" customWidth="1"/>
    <col min="3" max="3" width="10.08984375" customWidth="1"/>
    <col min="6" max="6" width="10.453125" customWidth="1"/>
    <col min="7" max="7" width="7.81640625" customWidth="1"/>
    <col min="8" max="8" width="7.6328125" customWidth="1"/>
    <col min="9" max="9" width="8.26953125" customWidth="1"/>
    <col min="10" max="10" width="10.36328125" customWidth="1"/>
    <col min="11" max="11" width="7.6328125" customWidth="1"/>
    <col min="12" max="12" width="8" customWidth="1"/>
    <col min="13" max="13" width="7.6328125" customWidth="1"/>
    <col min="14" max="16" width="6.6328125" customWidth="1"/>
    <col min="17" max="17" width="7.36328125" customWidth="1"/>
    <col min="18" max="26" width="6.6328125" customWidth="1"/>
  </cols>
  <sheetData>
    <row r="1" spans="1:51" ht="15.5">
      <c r="A1" s="152" t="s">
        <v>396</v>
      </c>
      <c r="G1" s="152"/>
      <c r="H1" s="152"/>
      <c r="I1" s="152"/>
      <c r="J1" s="152"/>
      <c r="K1" s="152"/>
      <c r="L1" s="152"/>
      <c r="M1" s="152"/>
      <c r="N1" s="152"/>
      <c r="O1" s="152"/>
      <c r="P1" s="152"/>
      <c r="Q1" s="152"/>
      <c r="R1" s="152"/>
      <c r="S1" s="152"/>
      <c r="T1" s="152"/>
      <c r="U1" s="152"/>
      <c r="V1" s="152"/>
      <c r="W1" s="152"/>
      <c r="X1" s="152"/>
      <c r="Y1" s="152"/>
      <c r="Z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row>
    <row r="2" spans="1:51" ht="15.5">
      <c r="R2" s="113"/>
      <c r="S2" s="104"/>
      <c r="T2" s="104"/>
      <c r="U2" s="104"/>
      <c r="V2" s="104"/>
      <c r="W2" s="104"/>
      <c r="X2" s="104"/>
      <c r="Y2" s="104"/>
      <c r="Z2" s="104"/>
      <c r="AN2" s="113"/>
      <c r="AO2" s="104"/>
      <c r="AP2" s="104"/>
      <c r="AQ2" s="104"/>
      <c r="AR2" s="104"/>
      <c r="AS2" s="104"/>
      <c r="AT2" s="104"/>
      <c r="AU2" s="104"/>
      <c r="AV2" s="104"/>
      <c r="AW2" s="104"/>
      <c r="AX2" s="104"/>
      <c r="AY2" s="104"/>
    </row>
    <row r="3" spans="1:51" ht="52.5" customHeight="1">
      <c r="A3" s="1"/>
      <c r="C3" s="6"/>
      <c r="D3" s="6"/>
      <c r="E3" s="6"/>
      <c r="G3" s="710"/>
      <c r="H3" s="710"/>
      <c r="I3" s="710"/>
      <c r="J3" s="6"/>
      <c r="K3" s="7"/>
      <c r="L3" s="7"/>
      <c r="M3" s="7"/>
      <c r="O3" s="7"/>
      <c r="P3" s="7"/>
      <c r="Q3" s="7"/>
      <c r="S3" s="7"/>
      <c r="T3" s="7"/>
      <c r="U3" s="7"/>
      <c r="W3" s="7"/>
      <c r="X3" s="7"/>
      <c r="Y3" s="7"/>
      <c r="AC3" s="6"/>
      <c r="AD3" s="6"/>
      <c r="AE3" s="6"/>
      <c r="AF3" s="6"/>
      <c r="AG3" s="7"/>
      <c r="AH3" s="7"/>
      <c r="AI3" s="7"/>
      <c r="AK3" s="7"/>
      <c r="AL3" s="7"/>
      <c r="AM3" s="7"/>
      <c r="AO3" s="7"/>
      <c r="AP3" s="7"/>
      <c r="AQ3" s="7"/>
      <c r="AS3" s="7"/>
      <c r="AT3" s="7"/>
      <c r="AU3" s="7"/>
      <c r="AW3" s="7"/>
      <c r="AX3" s="7"/>
      <c r="AY3" s="7"/>
    </row>
    <row r="4" spans="1:51" ht="15" thickBot="1">
      <c r="A4" s="752" t="s">
        <v>6</v>
      </c>
      <c r="B4" s="752" t="s">
        <v>164</v>
      </c>
      <c r="C4" s="6"/>
      <c r="D4" s="6"/>
      <c r="E4" s="6"/>
      <c r="G4" s="583"/>
      <c r="H4" s="583"/>
      <c r="I4" s="583"/>
      <c r="K4" s="122"/>
      <c r="L4" s="122"/>
      <c r="M4" s="122"/>
      <c r="O4" s="122"/>
      <c r="P4" s="122"/>
      <c r="Q4" s="122"/>
      <c r="S4" s="122"/>
      <c r="T4" s="122"/>
      <c r="U4" s="122"/>
      <c r="W4" s="122"/>
      <c r="X4" s="122"/>
      <c r="Y4" s="122"/>
      <c r="AG4" s="122"/>
      <c r="AH4" s="122"/>
      <c r="AI4" s="122"/>
      <c r="AK4" s="122"/>
      <c r="AL4" s="122"/>
      <c r="AM4" s="122"/>
      <c r="AO4" s="122"/>
      <c r="AP4" s="122"/>
      <c r="AQ4" s="122"/>
      <c r="AS4" s="122"/>
      <c r="AT4" s="122"/>
      <c r="AU4" s="122"/>
      <c r="AW4" s="122"/>
      <c r="AX4" s="122"/>
      <c r="AY4" s="122"/>
    </row>
    <row r="5" spans="1:51" ht="50" customHeight="1">
      <c r="A5" s="752"/>
      <c r="B5" s="752"/>
      <c r="C5" s="742" t="s">
        <v>8</v>
      </c>
      <c r="D5" s="743"/>
      <c r="E5" s="744"/>
      <c r="G5" s="742" t="s">
        <v>8</v>
      </c>
      <c r="H5" s="743"/>
      <c r="I5" s="744"/>
      <c r="J5" s="6"/>
      <c r="K5" s="6"/>
      <c r="L5" s="6"/>
      <c r="M5" s="6"/>
      <c r="O5" s="6"/>
      <c r="P5" s="6"/>
      <c r="Q5" s="6"/>
      <c r="S5" s="6"/>
      <c r="T5" s="6"/>
      <c r="U5" s="6"/>
      <c r="W5" s="6"/>
      <c r="X5" s="6"/>
      <c r="Y5" s="6"/>
      <c r="AC5" s="6"/>
      <c r="AD5" s="6"/>
      <c r="AE5" s="6"/>
      <c r="AF5" s="6"/>
      <c r="AG5" s="6"/>
      <c r="AH5" s="6"/>
      <c r="AI5" s="6"/>
      <c r="AK5" s="6"/>
      <c r="AL5" s="6"/>
      <c r="AM5" s="6"/>
      <c r="AO5" s="6"/>
      <c r="AP5" s="6"/>
      <c r="AQ5" s="6"/>
      <c r="AS5" s="6"/>
      <c r="AT5" s="6"/>
      <c r="AU5" s="6"/>
      <c r="AW5" s="6"/>
      <c r="AX5" s="6"/>
      <c r="AY5" s="6"/>
    </row>
    <row r="6" spans="1:51" ht="41.5" customHeight="1">
      <c r="A6" s="752"/>
      <c r="B6" s="752"/>
      <c r="C6" s="351" t="s">
        <v>140</v>
      </c>
      <c r="D6" s="9" t="s">
        <v>1</v>
      </c>
      <c r="E6" s="352" t="s">
        <v>2</v>
      </c>
      <c r="G6" s="351" t="s">
        <v>140</v>
      </c>
      <c r="H6" s="9" t="s">
        <v>1</v>
      </c>
      <c r="I6" s="352" t="s">
        <v>2</v>
      </c>
      <c r="J6" s="6"/>
      <c r="K6" s="9"/>
      <c r="L6" s="9"/>
      <c r="M6" s="9"/>
      <c r="O6" s="9"/>
      <c r="P6" s="9"/>
      <c r="Q6" s="9"/>
      <c r="S6" s="9"/>
      <c r="T6" s="9"/>
      <c r="U6" s="9"/>
      <c r="W6" s="9"/>
      <c r="X6" s="9"/>
      <c r="Y6" s="9"/>
      <c r="AC6" s="9"/>
      <c r="AD6" s="9"/>
      <c r="AE6" s="9"/>
      <c r="AF6" s="6"/>
      <c r="AG6" s="9"/>
      <c r="AH6" s="9"/>
      <c r="AI6" s="9"/>
      <c r="AK6" s="9"/>
      <c r="AL6" s="9"/>
      <c r="AM6" s="9"/>
      <c r="AO6" s="9"/>
      <c r="AP6" s="9"/>
      <c r="AQ6" s="9"/>
      <c r="AS6" s="9"/>
      <c r="AT6" s="9"/>
      <c r="AU6" s="9"/>
      <c r="AW6" s="9"/>
      <c r="AX6" s="9"/>
      <c r="AY6" s="9"/>
    </row>
    <row r="7" spans="1:51">
      <c r="A7" s="752"/>
      <c r="B7" s="752"/>
      <c r="C7" s="567">
        <f>IF('Configuration Settings'!H21&gt;0,'Configuration Settings'!H21,'Configuration Settings'!J21)</f>
        <v>0.5</v>
      </c>
      <c r="D7" s="566">
        <f>IF('Configuration Settings'!H22&gt;0,'Configuration Settings'!H22,'Configuration Settings'!J22)</f>
        <v>0.45</v>
      </c>
      <c r="E7" s="568">
        <f>IF('Configuration Settings'!H23&gt;0,'Configuration Settings'!H23,'Configuration Settings'!J23)</f>
        <v>0.4</v>
      </c>
      <c r="G7" s="567">
        <f>C7</f>
        <v>0.5</v>
      </c>
      <c r="H7" s="566">
        <f>D7</f>
        <v>0.45</v>
      </c>
      <c r="I7" s="568">
        <f>E7</f>
        <v>0.4</v>
      </c>
      <c r="K7" s="7"/>
      <c r="L7" s="10"/>
      <c r="M7" s="7"/>
      <c r="O7" s="7"/>
      <c r="P7" s="10"/>
      <c r="Q7" s="7"/>
      <c r="S7" s="7"/>
      <c r="T7" s="10"/>
      <c r="U7" s="7"/>
      <c r="W7" s="7"/>
      <c r="X7" s="10"/>
      <c r="Y7" s="7"/>
      <c r="AC7" s="7"/>
      <c r="AD7" s="10"/>
      <c r="AE7" s="7"/>
      <c r="AG7" s="7"/>
      <c r="AH7" s="10"/>
      <c r="AI7" s="7"/>
      <c r="AK7" s="7"/>
      <c r="AL7" s="10"/>
      <c r="AM7" s="7"/>
      <c r="AO7" s="7"/>
      <c r="AP7" s="10"/>
      <c r="AQ7" s="7"/>
      <c r="AS7" s="7"/>
      <c r="AT7" s="10"/>
      <c r="AU7" s="7"/>
      <c r="AW7" s="7"/>
      <c r="AX7" s="10"/>
      <c r="AY7" s="7"/>
    </row>
    <row r="8" spans="1:51" ht="15" thickBot="1">
      <c r="A8" s="134"/>
      <c r="B8" s="9"/>
      <c r="C8" s="761" t="s">
        <v>4</v>
      </c>
      <c r="D8" s="762"/>
      <c r="E8" s="763"/>
      <c r="G8" s="748" t="s">
        <v>142</v>
      </c>
      <c r="H8" s="749"/>
      <c r="I8" s="750"/>
      <c r="K8" s="236"/>
      <c r="L8" s="236"/>
      <c r="M8" s="236"/>
      <c r="O8" s="236"/>
      <c r="P8" s="236"/>
      <c r="Q8" s="236"/>
      <c r="S8" s="236"/>
      <c r="T8" s="236"/>
      <c r="U8" s="236"/>
      <c r="W8" s="236"/>
      <c r="X8" s="236"/>
      <c r="Y8" s="236"/>
      <c r="AC8" s="7"/>
      <c r="AD8" s="10"/>
      <c r="AE8" s="7"/>
      <c r="AG8" s="7"/>
      <c r="AH8" s="10"/>
      <c r="AI8" s="7"/>
      <c r="AK8" s="7"/>
      <c r="AL8" s="10"/>
      <c r="AM8" s="7"/>
      <c r="AO8" s="7"/>
      <c r="AP8" s="10"/>
      <c r="AQ8" s="7"/>
      <c r="AS8" s="7"/>
      <c r="AT8" s="10"/>
      <c r="AU8" s="7"/>
      <c r="AW8" s="7"/>
      <c r="AX8" s="10"/>
      <c r="AY8" s="7"/>
    </row>
    <row r="9" spans="1:51">
      <c r="A9" s="218">
        <v>0.1</v>
      </c>
      <c r="B9" s="372">
        <v>0</v>
      </c>
      <c r="C9" s="129">
        <f t="shared" ref="C9:E14" si="0">$A$10*$B9*C$7*$G$56</f>
        <v>0</v>
      </c>
      <c r="D9" s="124">
        <f t="shared" si="0"/>
        <v>0</v>
      </c>
      <c r="E9" s="130">
        <f t="shared" si="0"/>
        <v>0</v>
      </c>
      <c r="F9" s="125"/>
      <c r="G9" s="133">
        <f t="shared" ref="G9:I10" si="1">C9</f>
        <v>0</v>
      </c>
      <c r="H9" s="126">
        <f t="shared" si="1"/>
        <v>0</v>
      </c>
      <c r="I9" s="127">
        <f t="shared" si="1"/>
        <v>0</v>
      </c>
      <c r="K9" s="500"/>
      <c r="L9" s="500"/>
      <c r="M9" s="500"/>
      <c r="O9" s="500"/>
      <c r="P9" s="500"/>
      <c r="Q9" s="500"/>
      <c r="S9" s="500"/>
      <c r="T9" s="500"/>
      <c r="U9" s="500"/>
      <c r="W9" s="500"/>
      <c r="X9" s="500"/>
      <c r="Y9" s="500"/>
      <c r="AC9" s="7"/>
      <c r="AD9" s="10"/>
      <c r="AE9" s="7"/>
      <c r="AG9" s="7"/>
      <c r="AH9" s="10"/>
      <c r="AI9" s="7"/>
      <c r="AK9" s="7"/>
      <c r="AL9" s="10"/>
      <c r="AM9" s="7"/>
      <c r="AO9" s="7"/>
      <c r="AP9" s="10"/>
      <c r="AQ9" s="7"/>
      <c r="AS9" s="7"/>
      <c r="AT9" s="10"/>
      <c r="AU9" s="7"/>
      <c r="AW9" s="7"/>
      <c r="AX9" s="10"/>
      <c r="AY9" s="7"/>
    </row>
    <row r="10" spans="1:51">
      <c r="A10" s="219">
        <v>0.1</v>
      </c>
      <c r="B10" s="7">
        <v>0.1</v>
      </c>
      <c r="C10" s="107">
        <f t="shared" si="0"/>
        <v>4.5000000000000014E-3</v>
      </c>
      <c r="D10" s="8">
        <f t="shared" si="0"/>
        <v>4.0500000000000015E-3</v>
      </c>
      <c r="E10" s="131">
        <f t="shared" si="0"/>
        <v>3.6000000000000008E-3</v>
      </c>
      <c r="G10" s="114">
        <f t="shared" si="1"/>
        <v>4.5000000000000014E-3</v>
      </c>
      <c r="H10" s="5">
        <f t="shared" si="1"/>
        <v>4.0500000000000015E-3</v>
      </c>
      <c r="I10" s="108">
        <f t="shared" si="1"/>
        <v>3.6000000000000008E-3</v>
      </c>
      <c r="K10" s="5"/>
      <c r="L10" s="5"/>
      <c r="M10" s="5"/>
      <c r="O10" s="5"/>
      <c r="P10" s="5"/>
      <c r="Q10" s="5"/>
      <c r="S10" s="5"/>
      <c r="T10" s="5"/>
      <c r="U10" s="5"/>
      <c r="W10" s="5"/>
      <c r="X10" s="5"/>
      <c r="Y10" s="5"/>
      <c r="AC10" s="5"/>
      <c r="AD10" s="5"/>
      <c r="AE10" s="5"/>
      <c r="AG10" s="5"/>
      <c r="AH10" s="5"/>
      <c r="AI10" s="5"/>
      <c r="AK10" s="5"/>
      <c r="AL10" s="5"/>
      <c r="AM10" s="5"/>
      <c r="AO10" s="5"/>
      <c r="AP10" s="5"/>
      <c r="AQ10" s="5"/>
      <c r="AS10" s="5"/>
      <c r="AT10" s="5"/>
      <c r="AU10" s="5"/>
      <c r="AW10" s="5"/>
      <c r="AX10" s="5"/>
      <c r="AY10" s="5"/>
    </row>
    <row r="11" spans="1:51">
      <c r="A11" s="219">
        <v>0.1</v>
      </c>
      <c r="B11" s="7">
        <v>0.2</v>
      </c>
      <c r="C11" s="107">
        <f t="shared" si="0"/>
        <v>9.0000000000000028E-3</v>
      </c>
      <c r="D11" s="8">
        <f t="shared" si="0"/>
        <v>8.100000000000003E-3</v>
      </c>
      <c r="E11" s="131">
        <f t="shared" si="0"/>
        <v>7.2000000000000015E-3</v>
      </c>
      <c r="G11" s="114">
        <f t="shared" ref="G11:I53" si="2">C11</f>
        <v>9.0000000000000028E-3</v>
      </c>
      <c r="H11" s="5">
        <f t="shared" si="2"/>
        <v>8.100000000000003E-3</v>
      </c>
      <c r="I11" s="108">
        <f t="shared" si="2"/>
        <v>7.2000000000000015E-3</v>
      </c>
      <c r="K11" s="5"/>
      <c r="L11" s="5"/>
      <c r="M11" s="5"/>
      <c r="O11" s="5"/>
      <c r="P11" s="5"/>
      <c r="Q11" s="5"/>
      <c r="S11" s="5"/>
      <c r="T11" s="5"/>
      <c r="U11" s="5"/>
      <c r="W11" s="5"/>
      <c r="X11" s="5"/>
      <c r="Y11" s="5"/>
      <c r="AC11" s="5"/>
      <c r="AD11" s="5"/>
      <c r="AE11" s="5"/>
      <c r="AG11" s="5"/>
      <c r="AH11" s="5"/>
      <c r="AI11" s="5"/>
      <c r="AK11" s="5"/>
      <c r="AL11" s="5"/>
      <c r="AM11" s="5"/>
      <c r="AO11" s="5"/>
      <c r="AP11" s="5"/>
      <c r="AQ11" s="5"/>
      <c r="AS11" s="5"/>
      <c r="AT11" s="5"/>
      <c r="AU11" s="5"/>
      <c r="AW11" s="5"/>
      <c r="AX11" s="5"/>
      <c r="AY11" s="5"/>
    </row>
    <row r="12" spans="1:51">
      <c r="A12" s="219">
        <v>0.1</v>
      </c>
      <c r="B12" s="7">
        <v>0.3</v>
      </c>
      <c r="C12" s="107">
        <f t="shared" si="0"/>
        <v>1.35E-2</v>
      </c>
      <c r="D12" s="8">
        <f t="shared" si="0"/>
        <v>1.2149999999999999E-2</v>
      </c>
      <c r="E12" s="131">
        <f t="shared" si="0"/>
        <v>1.0800000000000001E-2</v>
      </c>
      <c r="G12" s="114">
        <f t="shared" si="2"/>
        <v>1.35E-2</v>
      </c>
      <c r="H12" s="5">
        <f t="shared" si="2"/>
        <v>1.2149999999999999E-2</v>
      </c>
      <c r="I12" s="108">
        <f t="shared" si="2"/>
        <v>1.0800000000000001E-2</v>
      </c>
      <c r="K12" s="5"/>
      <c r="L12" s="5"/>
      <c r="M12" s="5"/>
      <c r="O12" s="5"/>
      <c r="P12" s="5"/>
      <c r="Q12" s="5"/>
      <c r="S12" s="5"/>
      <c r="T12" s="5"/>
      <c r="U12" s="5"/>
      <c r="W12" s="5"/>
      <c r="X12" s="5"/>
      <c r="Y12" s="5"/>
      <c r="AC12" s="5"/>
      <c r="AD12" s="5"/>
      <c r="AE12" s="5"/>
      <c r="AG12" s="5"/>
      <c r="AH12" s="5"/>
      <c r="AI12" s="5"/>
      <c r="AK12" s="5"/>
      <c r="AL12" s="5"/>
      <c r="AM12" s="5"/>
      <c r="AO12" s="5"/>
      <c r="AP12" s="5"/>
      <c r="AQ12" s="5"/>
      <c r="AS12" s="5"/>
      <c r="AT12" s="5"/>
      <c r="AU12" s="5"/>
      <c r="AW12" s="5"/>
      <c r="AX12" s="5"/>
      <c r="AY12" s="5"/>
    </row>
    <row r="13" spans="1:51" ht="15" thickBot="1">
      <c r="A13" s="373">
        <v>0.1</v>
      </c>
      <c r="B13" s="128">
        <v>0.4</v>
      </c>
      <c r="C13" s="109">
        <f t="shared" si="0"/>
        <v>1.8000000000000006E-2</v>
      </c>
      <c r="D13" s="110">
        <f t="shared" si="0"/>
        <v>1.6200000000000006E-2</v>
      </c>
      <c r="E13" s="132">
        <f t="shared" si="0"/>
        <v>1.4400000000000003E-2</v>
      </c>
      <c r="F13" s="87"/>
      <c r="G13" s="115">
        <f t="shared" si="2"/>
        <v>1.8000000000000006E-2</v>
      </c>
      <c r="H13" s="111">
        <f t="shared" si="2"/>
        <v>1.6200000000000006E-2</v>
      </c>
      <c r="I13" s="112">
        <f t="shared" si="2"/>
        <v>1.4400000000000003E-2</v>
      </c>
      <c r="K13" s="5"/>
      <c r="L13" s="5"/>
      <c r="M13" s="5"/>
      <c r="O13" s="5"/>
      <c r="P13" s="5"/>
      <c r="Q13" s="5"/>
      <c r="S13" s="5"/>
      <c r="T13" s="5"/>
      <c r="U13" s="5"/>
      <c r="W13" s="5"/>
      <c r="X13" s="5"/>
      <c r="Y13" s="5"/>
      <c r="AC13" s="5"/>
      <c r="AD13" s="5"/>
      <c r="AE13" s="5"/>
      <c r="AG13" s="5"/>
      <c r="AH13" s="5"/>
      <c r="AI13" s="5"/>
      <c r="AK13" s="5"/>
      <c r="AL13" s="5"/>
      <c r="AM13" s="5"/>
      <c r="AO13" s="5"/>
      <c r="AP13" s="5"/>
      <c r="AQ13" s="5"/>
      <c r="AS13" s="5"/>
      <c r="AT13" s="5"/>
      <c r="AU13" s="5"/>
      <c r="AW13" s="5"/>
      <c r="AX13" s="5"/>
      <c r="AY13" s="5"/>
    </row>
    <row r="14" spans="1:51">
      <c r="A14" s="218">
        <v>0.2</v>
      </c>
      <c r="B14" s="372">
        <v>0</v>
      </c>
      <c r="C14" s="129">
        <f t="shared" si="0"/>
        <v>0</v>
      </c>
      <c r="D14" s="124">
        <f t="shared" si="0"/>
        <v>0</v>
      </c>
      <c r="E14" s="130">
        <f t="shared" si="0"/>
        <v>0</v>
      </c>
      <c r="F14" s="125"/>
      <c r="G14" s="133">
        <f>C14</f>
        <v>0</v>
      </c>
      <c r="H14" s="126">
        <f>D14</f>
        <v>0</v>
      </c>
      <c r="I14" s="127">
        <f>E14</f>
        <v>0</v>
      </c>
      <c r="K14" s="5"/>
      <c r="L14" s="5"/>
      <c r="M14" s="5"/>
      <c r="O14" s="5"/>
      <c r="P14" s="5"/>
      <c r="Q14" s="5"/>
      <c r="S14" s="5"/>
      <c r="T14" s="5"/>
      <c r="U14" s="5"/>
      <c r="W14" s="5"/>
      <c r="X14" s="5"/>
      <c r="Y14" s="5"/>
      <c r="AC14" s="5"/>
      <c r="AD14" s="5"/>
      <c r="AE14" s="5"/>
      <c r="AG14" s="5"/>
      <c r="AH14" s="5"/>
      <c r="AI14" s="5"/>
      <c r="AK14" s="5"/>
      <c r="AL14" s="5"/>
      <c r="AM14" s="5"/>
      <c r="AO14" s="5"/>
      <c r="AP14" s="5"/>
      <c r="AQ14" s="5"/>
      <c r="AS14" s="5"/>
      <c r="AT14" s="5"/>
      <c r="AU14" s="5"/>
      <c r="AW14" s="5"/>
      <c r="AX14" s="5"/>
      <c r="AY14" s="5"/>
    </row>
    <row r="15" spans="1:51">
      <c r="A15" s="219">
        <v>0.2</v>
      </c>
      <c r="B15" s="7">
        <v>0.1</v>
      </c>
      <c r="C15" s="107">
        <f t="shared" ref="C15:E18" si="3">$A$15*$B15*C$7*$G$56</f>
        <v>9.0000000000000028E-3</v>
      </c>
      <c r="D15" s="8">
        <f t="shared" si="3"/>
        <v>8.100000000000003E-3</v>
      </c>
      <c r="E15" s="131">
        <f t="shared" si="3"/>
        <v>7.2000000000000015E-3</v>
      </c>
      <c r="G15" s="114">
        <f t="shared" si="2"/>
        <v>9.0000000000000028E-3</v>
      </c>
      <c r="H15" s="5">
        <f t="shared" si="2"/>
        <v>8.100000000000003E-3</v>
      </c>
      <c r="I15" s="108">
        <f t="shared" si="2"/>
        <v>7.2000000000000015E-3</v>
      </c>
      <c r="K15" s="5"/>
      <c r="L15" s="5"/>
      <c r="M15" s="5"/>
      <c r="O15" s="5"/>
      <c r="P15" s="5"/>
      <c r="Q15" s="5"/>
      <c r="S15" s="5"/>
      <c r="T15" s="5"/>
      <c r="U15" s="5"/>
      <c r="W15" s="5"/>
      <c r="X15" s="5"/>
      <c r="Y15" s="5"/>
      <c r="AC15" s="5"/>
      <c r="AD15" s="5"/>
      <c r="AE15" s="5"/>
      <c r="AG15" s="5"/>
      <c r="AH15" s="5"/>
      <c r="AI15" s="5"/>
      <c r="AK15" s="5"/>
      <c r="AL15" s="5"/>
      <c r="AM15" s="5"/>
      <c r="AO15" s="5"/>
      <c r="AP15" s="5"/>
      <c r="AQ15" s="5"/>
      <c r="AS15" s="5"/>
      <c r="AT15" s="5"/>
      <c r="AU15" s="5"/>
      <c r="AW15" s="5"/>
      <c r="AX15" s="5"/>
      <c r="AY15" s="5"/>
    </row>
    <row r="16" spans="1:51">
      <c r="A16" s="219">
        <v>0.2</v>
      </c>
      <c r="B16" s="7">
        <v>0.2</v>
      </c>
      <c r="C16" s="107">
        <f t="shared" si="3"/>
        <v>1.8000000000000006E-2</v>
      </c>
      <c r="D16" s="8">
        <f t="shared" si="3"/>
        <v>1.6200000000000006E-2</v>
      </c>
      <c r="E16" s="131">
        <f t="shared" si="3"/>
        <v>1.4400000000000003E-2</v>
      </c>
      <c r="G16" s="114">
        <f t="shared" si="2"/>
        <v>1.8000000000000006E-2</v>
      </c>
      <c r="H16" s="5">
        <f t="shared" si="2"/>
        <v>1.6200000000000006E-2</v>
      </c>
      <c r="I16" s="108">
        <f t="shared" si="2"/>
        <v>1.4400000000000003E-2</v>
      </c>
      <c r="K16" s="5"/>
      <c r="L16" s="5"/>
      <c r="M16" s="5"/>
      <c r="O16" s="5"/>
      <c r="P16" s="5"/>
      <c r="Q16" s="5"/>
      <c r="S16" s="5"/>
      <c r="T16" s="5"/>
      <c r="U16" s="5"/>
      <c r="W16" s="5"/>
      <c r="X16" s="5"/>
      <c r="Y16" s="5"/>
      <c r="AC16" s="5"/>
      <c r="AD16" s="5"/>
      <c r="AE16" s="5"/>
      <c r="AG16" s="5"/>
      <c r="AH16" s="5"/>
      <c r="AI16" s="5"/>
      <c r="AK16" s="5"/>
      <c r="AL16" s="5"/>
      <c r="AM16" s="5"/>
      <c r="AO16" s="5"/>
      <c r="AP16" s="5"/>
      <c r="AQ16" s="5"/>
      <c r="AS16" s="5"/>
      <c r="AT16" s="5"/>
      <c r="AU16" s="5"/>
      <c r="AW16" s="5"/>
      <c r="AX16" s="5"/>
      <c r="AY16" s="5"/>
    </row>
    <row r="17" spans="1:51">
      <c r="A17" s="219">
        <v>0.2</v>
      </c>
      <c r="B17" s="7">
        <v>0.3</v>
      </c>
      <c r="C17" s="107">
        <f t="shared" si="3"/>
        <v>2.7E-2</v>
      </c>
      <c r="D17" s="8">
        <f t="shared" si="3"/>
        <v>2.4299999999999999E-2</v>
      </c>
      <c r="E17" s="131">
        <f t="shared" si="3"/>
        <v>2.1600000000000001E-2</v>
      </c>
      <c r="G17" s="114">
        <f t="shared" si="2"/>
        <v>2.7E-2</v>
      </c>
      <c r="H17" s="5">
        <f t="shared" si="2"/>
        <v>2.4299999999999999E-2</v>
      </c>
      <c r="I17" s="108">
        <f t="shared" si="2"/>
        <v>2.1600000000000001E-2</v>
      </c>
      <c r="K17" s="5"/>
      <c r="L17" s="5"/>
      <c r="M17" s="5"/>
      <c r="O17" s="5"/>
      <c r="P17" s="5"/>
      <c r="Q17" s="5"/>
      <c r="S17" s="5"/>
      <c r="T17" s="5"/>
      <c r="U17" s="5"/>
      <c r="W17" s="5"/>
      <c r="X17" s="5"/>
      <c r="Y17" s="5"/>
      <c r="AC17" s="5"/>
      <c r="AD17" s="5"/>
      <c r="AE17" s="5"/>
      <c r="AG17" s="5"/>
      <c r="AH17" s="5"/>
      <c r="AI17" s="5"/>
      <c r="AK17" s="5"/>
      <c r="AL17" s="5"/>
      <c r="AM17" s="5"/>
      <c r="AO17" s="5"/>
      <c r="AP17" s="5"/>
      <c r="AQ17" s="5"/>
      <c r="AS17" s="5"/>
      <c r="AT17" s="5"/>
      <c r="AU17" s="5"/>
      <c r="AW17" s="5"/>
      <c r="AX17" s="5"/>
      <c r="AY17" s="5"/>
    </row>
    <row r="18" spans="1:51" ht="15" thickBot="1">
      <c r="A18" s="373">
        <v>0.2</v>
      </c>
      <c r="B18" s="128">
        <v>0.4</v>
      </c>
      <c r="C18" s="109">
        <f t="shared" si="3"/>
        <v>3.6000000000000011E-2</v>
      </c>
      <c r="D18" s="110">
        <f t="shared" si="3"/>
        <v>3.2400000000000012E-2</v>
      </c>
      <c r="E18" s="132">
        <f t="shared" si="3"/>
        <v>2.8800000000000006E-2</v>
      </c>
      <c r="F18" s="87"/>
      <c r="G18" s="115">
        <f t="shared" si="2"/>
        <v>3.6000000000000011E-2</v>
      </c>
      <c r="H18" s="111">
        <f t="shared" si="2"/>
        <v>3.2400000000000012E-2</v>
      </c>
      <c r="I18" s="112">
        <f t="shared" si="2"/>
        <v>2.8800000000000006E-2</v>
      </c>
      <c r="K18" s="5"/>
      <c r="L18" s="5"/>
      <c r="M18" s="5"/>
      <c r="O18" s="5"/>
      <c r="P18" s="5"/>
      <c r="Q18" s="5"/>
      <c r="S18" s="5"/>
      <c r="T18" s="5"/>
      <c r="U18" s="5"/>
      <c r="W18" s="5"/>
      <c r="X18" s="5"/>
      <c r="Y18" s="5"/>
      <c r="AC18" s="5"/>
      <c r="AD18" s="5"/>
      <c r="AE18" s="5"/>
      <c r="AG18" s="5"/>
      <c r="AH18" s="5"/>
      <c r="AI18" s="5"/>
      <c r="AK18" s="5"/>
      <c r="AL18" s="5"/>
      <c r="AM18" s="5"/>
      <c r="AO18" s="5"/>
      <c r="AP18" s="5"/>
      <c r="AQ18" s="5"/>
      <c r="AS18" s="5"/>
      <c r="AT18" s="5"/>
      <c r="AU18" s="5"/>
      <c r="AW18" s="5"/>
      <c r="AX18" s="5"/>
      <c r="AY18" s="5"/>
    </row>
    <row r="19" spans="1:51">
      <c r="A19" s="218">
        <v>0.3</v>
      </c>
      <c r="B19" s="372">
        <v>0</v>
      </c>
      <c r="C19" s="129">
        <f t="shared" ref="C19:E19" si="4">$A$10*$B19*C$7*$G$56</f>
        <v>0</v>
      </c>
      <c r="D19" s="124">
        <f t="shared" si="4"/>
        <v>0</v>
      </c>
      <c r="E19" s="130">
        <f t="shared" si="4"/>
        <v>0</v>
      </c>
      <c r="F19" s="125"/>
      <c r="G19" s="133">
        <f>C19</f>
        <v>0</v>
      </c>
      <c r="H19" s="126">
        <f>D19</f>
        <v>0</v>
      </c>
      <c r="I19" s="127">
        <f>E19</f>
        <v>0</v>
      </c>
      <c r="K19" s="5"/>
      <c r="L19" s="5"/>
      <c r="M19" s="5"/>
      <c r="O19" s="5"/>
      <c r="P19" s="5"/>
      <c r="Q19" s="5"/>
      <c r="S19" s="5"/>
      <c r="T19" s="5"/>
      <c r="U19" s="5"/>
      <c r="W19" s="5"/>
      <c r="X19" s="5"/>
      <c r="Y19" s="5"/>
      <c r="AC19" s="5"/>
      <c r="AD19" s="5"/>
      <c r="AE19" s="5"/>
      <c r="AG19" s="5"/>
      <c r="AH19" s="5"/>
      <c r="AI19" s="5"/>
      <c r="AK19" s="5"/>
      <c r="AL19" s="5"/>
      <c r="AM19" s="5"/>
      <c r="AO19" s="5"/>
      <c r="AP19" s="5"/>
      <c r="AQ19" s="5"/>
      <c r="AS19" s="5"/>
      <c r="AT19" s="5"/>
      <c r="AU19" s="5"/>
      <c r="AW19" s="5"/>
      <c r="AX19" s="5"/>
      <c r="AY19" s="5"/>
    </row>
    <row r="20" spans="1:51">
      <c r="A20" s="219">
        <v>0.3</v>
      </c>
      <c r="B20" s="7">
        <v>0.1</v>
      </c>
      <c r="C20" s="107">
        <f t="shared" ref="C20:E23" si="5">$A$20*$B20*C$7*$G$56</f>
        <v>1.35E-2</v>
      </c>
      <c r="D20" s="8">
        <f t="shared" si="5"/>
        <v>1.2149999999999999E-2</v>
      </c>
      <c r="E20" s="131">
        <f t="shared" si="5"/>
        <v>1.0800000000000001E-2</v>
      </c>
      <c r="G20" s="114">
        <f t="shared" si="2"/>
        <v>1.35E-2</v>
      </c>
      <c r="H20" s="5">
        <f t="shared" si="2"/>
        <v>1.2149999999999999E-2</v>
      </c>
      <c r="I20" s="108">
        <f t="shared" si="2"/>
        <v>1.0800000000000001E-2</v>
      </c>
      <c r="K20" s="5"/>
      <c r="L20" s="5"/>
      <c r="M20" s="5"/>
      <c r="O20" s="5"/>
      <c r="P20" s="5"/>
      <c r="Q20" s="5"/>
      <c r="S20" s="5"/>
      <c r="T20" s="5"/>
      <c r="U20" s="5"/>
      <c r="W20" s="5"/>
      <c r="X20" s="5"/>
      <c r="Y20" s="5"/>
      <c r="AC20" s="5"/>
      <c r="AD20" s="5"/>
      <c r="AE20" s="5"/>
      <c r="AG20" s="5"/>
      <c r="AH20" s="5"/>
      <c r="AI20" s="5"/>
      <c r="AK20" s="5"/>
      <c r="AL20" s="5"/>
      <c r="AM20" s="5"/>
      <c r="AO20" s="5"/>
      <c r="AP20" s="5"/>
      <c r="AQ20" s="5"/>
      <c r="AS20" s="5"/>
      <c r="AT20" s="5"/>
      <c r="AU20" s="5"/>
      <c r="AW20" s="5"/>
      <c r="AX20" s="5"/>
      <c r="AY20" s="5"/>
    </row>
    <row r="21" spans="1:51">
      <c r="A21" s="219">
        <v>0.3</v>
      </c>
      <c r="B21" s="7">
        <v>0.2</v>
      </c>
      <c r="C21" s="107">
        <f t="shared" si="5"/>
        <v>2.7E-2</v>
      </c>
      <c r="D21" s="8">
        <f t="shared" si="5"/>
        <v>2.4299999999999999E-2</v>
      </c>
      <c r="E21" s="131">
        <f t="shared" si="5"/>
        <v>2.1600000000000001E-2</v>
      </c>
      <c r="G21" s="114">
        <f t="shared" si="2"/>
        <v>2.7E-2</v>
      </c>
      <c r="H21" s="5">
        <f t="shared" si="2"/>
        <v>2.4299999999999999E-2</v>
      </c>
      <c r="I21" s="108">
        <f t="shared" si="2"/>
        <v>2.1600000000000001E-2</v>
      </c>
      <c r="K21" s="5"/>
      <c r="L21" s="5"/>
      <c r="M21" s="5"/>
      <c r="O21" s="5"/>
      <c r="P21" s="5"/>
      <c r="Q21" s="5"/>
      <c r="S21" s="5"/>
      <c r="T21" s="5"/>
      <c r="U21" s="5"/>
      <c r="W21" s="5"/>
      <c r="X21" s="5"/>
      <c r="Y21" s="5"/>
      <c r="AC21" s="5"/>
      <c r="AD21" s="5"/>
      <c r="AE21" s="5"/>
      <c r="AG21" s="5"/>
      <c r="AH21" s="5"/>
      <c r="AI21" s="5"/>
      <c r="AK21" s="5"/>
      <c r="AL21" s="5"/>
      <c r="AM21" s="5"/>
      <c r="AO21" s="5"/>
      <c r="AP21" s="5"/>
      <c r="AQ21" s="5"/>
      <c r="AS21" s="5"/>
      <c r="AT21" s="5"/>
      <c r="AU21" s="5"/>
      <c r="AW21" s="5"/>
      <c r="AX21" s="5"/>
      <c r="AY21" s="5"/>
    </row>
    <row r="22" spans="1:51">
      <c r="A22" s="219">
        <v>0.3</v>
      </c>
      <c r="B22" s="7">
        <v>0.3</v>
      </c>
      <c r="C22" s="107">
        <f t="shared" si="5"/>
        <v>4.0500000000000001E-2</v>
      </c>
      <c r="D22" s="8">
        <f t="shared" si="5"/>
        <v>3.6450000000000003E-2</v>
      </c>
      <c r="E22" s="131">
        <f t="shared" si="5"/>
        <v>3.2399999999999998E-2</v>
      </c>
      <c r="G22" s="114">
        <f t="shared" si="2"/>
        <v>4.0500000000000001E-2</v>
      </c>
      <c r="H22" s="5">
        <f t="shared" si="2"/>
        <v>3.6450000000000003E-2</v>
      </c>
      <c r="I22" s="108">
        <f t="shared" si="2"/>
        <v>3.2399999999999998E-2</v>
      </c>
      <c r="K22" s="5"/>
      <c r="L22" s="5"/>
      <c r="M22" s="5"/>
      <c r="O22" s="5"/>
      <c r="P22" s="5"/>
      <c r="Q22" s="5"/>
      <c r="S22" s="5"/>
      <c r="T22" s="5"/>
      <c r="U22" s="5"/>
      <c r="W22" s="5"/>
      <c r="X22" s="5"/>
      <c r="Y22" s="5"/>
      <c r="AC22" s="5"/>
      <c r="AD22" s="5"/>
      <c r="AE22" s="5"/>
      <c r="AG22" s="5"/>
      <c r="AH22" s="5"/>
      <c r="AI22" s="5"/>
      <c r="AK22" s="5"/>
      <c r="AL22" s="5"/>
      <c r="AM22" s="5"/>
      <c r="AO22" s="5"/>
      <c r="AP22" s="5"/>
      <c r="AQ22" s="5"/>
      <c r="AS22" s="5"/>
      <c r="AT22" s="5"/>
      <c r="AU22" s="5"/>
      <c r="AW22" s="5"/>
      <c r="AX22" s="5"/>
      <c r="AY22" s="5"/>
    </row>
    <row r="23" spans="1:51" ht="15" thickBot="1">
      <c r="A23" s="373">
        <v>0.3</v>
      </c>
      <c r="B23" s="128">
        <v>0.4</v>
      </c>
      <c r="C23" s="109">
        <f t="shared" si="5"/>
        <v>5.3999999999999999E-2</v>
      </c>
      <c r="D23" s="110">
        <f t="shared" si="5"/>
        <v>4.8599999999999997E-2</v>
      </c>
      <c r="E23" s="132">
        <f t="shared" si="5"/>
        <v>4.3200000000000002E-2</v>
      </c>
      <c r="F23" s="87"/>
      <c r="G23" s="115">
        <f t="shared" si="2"/>
        <v>5.3999999999999999E-2</v>
      </c>
      <c r="H23" s="111">
        <f t="shared" si="2"/>
        <v>4.8599999999999997E-2</v>
      </c>
      <c r="I23" s="112">
        <f t="shared" si="2"/>
        <v>4.3200000000000002E-2</v>
      </c>
      <c r="K23" s="5"/>
      <c r="L23" s="5"/>
      <c r="M23" s="5"/>
      <c r="O23" s="5"/>
      <c r="P23" s="5"/>
      <c r="Q23" s="5"/>
      <c r="S23" s="5"/>
      <c r="T23" s="5"/>
      <c r="U23" s="5"/>
      <c r="W23" s="5"/>
      <c r="X23" s="5"/>
      <c r="Y23" s="5"/>
      <c r="AC23" s="5"/>
      <c r="AD23" s="5"/>
      <c r="AE23" s="5"/>
      <c r="AG23" s="5"/>
      <c r="AH23" s="5"/>
      <c r="AI23" s="5"/>
      <c r="AK23" s="5"/>
      <c r="AL23" s="5"/>
      <c r="AM23" s="5"/>
      <c r="AO23" s="5"/>
      <c r="AP23" s="5"/>
      <c r="AQ23" s="5"/>
      <c r="AS23" s="5"/>
      <c r="AT23" s="5"/>
      <c r="AU23" s="5"/>
      <c r="AW23" s="5"/>
      <c r="AX23" s="5"/>
      <c r="AY23" s="5"/>
    </row>
    <row r="24" spans="1:51">
      <c r="A24" s="218">
        <v>0.4</v>
      </c>
      <c r="B24" s="372">
        <v>0</v>
      </c>
      <c r="C24" s="129">
        <f t="shared" ref="C24:E24" si="6">$A$10*$B24*C$7*$G$56</f>
        <v>0</v>
      </c>
      <c r="D24" s="124">
        <f t="shared" si="6"/>
        <v>0</v>
      </c>
      <c r="E24" s="130">
        <f t="shared" si="6"/>
        <v>0</v>
      </c>
      <c r="F24" s="125"/>
      <c r="G24" s="133">
        <f>C24</f>
        <v>0</v>
      </c>
      <c r="H24" s="126">
        <f>D24</f>
        <v>0</v>
      </c>
      <c r="I24" s="127">
        <f>E24</f>
        <v>0</v>
      </c>
      <c r="K24" s="5"/>
      <c r="L24" s="5"/>
      <c r="M24" s="5"/>
      <c r="O24" s="5"/>
      <c r="P24" s="5"/>
      <c r="Q24" s="5"/>
      <c r="S24" s="5"/>
      <c r="T24" s="5"/>
      <c r="U24" s="5"/>
      <c r="W24" s="5"/>
      <c r="X24" s="5"/>
      <c r="Y24" s="5"/>
      <c r="AC24" s="5"/>
      <c r="AD24" s="5"/>
      <c r="AE24" s="5"/>
      <c r="AG24" s="5"/>
      <c r="AH24" s="5"/>
      <c r="AI24" s="5"/>
      <c r="AK24" s="5"/>
      <c r="AL24" s="5"/>
      <c r="AM24" s="5"/>
      <c r="AO24" s="5"/>
      <c r="AP24" s="5"/>
      <c r="AQ24" s="5"/>
      <c r="AS24" s="5"/>
      <c r="AT24" s="5"/>
      <c r="AU24" s="5"/>
      <c r="AW24" s="5"/>
      <c r="AX24" s="5"/>
      <c r="AY24" s="5"/>
    </row>
    <row r="25" spans="1:51">
      <c r="A25" s="219">
        <v>0.4</v>
      </c>
      <c r="B25" s="7">
        <v>0.1</v>
      </c>
      <c r="C25" s="107">
        <f t="shared" ref="C25:E28" si="7">$A$25*$B25*C$7*$G$56</f>
        <v>1.8000000000000006E-2</v>
      </c>
      <c r="D25" s="8">
        <f t="shared" si="7"/>
        <v>1.6200000000000006E-2</v>
      </c>
      <c r="E25" s="131">
        <f t="shared" si="7"/>
        <v>1.4400000000000003E-2</v>
      </c>
      <c r="G25" s="114">
        <f t="shared" si="2"/>
        <v>1.8000000000000006E-2</v>
      </c>
      <c r="H25" s="5">
        <f t="shared" si="2"/>
        <v>1.6200000000000006E-2</v>
      </c>
      <c r="I25" s="108">
        <f t="shared" si="2"/>
        <v>1.4400000000000003E-2</v>
      </c>
      <c r="K25" s="5"/>
      <c r="L25" s="5"/>
      <c r="M25" s="5"/>
      <c r="O25" s="5"/>
      <c r="P25" s="5"/>
      <c r="Q25" s="5"/>
      <c r="S25" s="5"/>
      <c r="T25" s="5"/>
      <c r="U25" s="5"/>
      <c r="W25" s="5"/>
      <c r="X25" s="5"/>
      <c r="Y25" s="5"/>
      <c r="AC25" s="5"/>
      <c r="AD25" s="5"/>
      <c r="AE25" s="5"/>
      <c r="AG25" s="5"/>
      <c r="AH25" s="5"/>
      <c r="AI25" s="5"/>
      <c r="AK25" s="5"/>
      <c r="AL25" s="5"/>
      <c r="AM25" s="5"/>
      <c r="AO25" s="5"/>
      <c r="AP25" s="5"/>
      <c r="AQ25" s="5"/>
      <c r="AS25" s="5"/>
      <c r="AT25" s="5"/>
      <c r="AU25" s="5"/>
      <c r="AW25" s="5"/>
      <c r="AX25" s="5"/>
      <c r="AY25" s="5"/>
    </row>
    <row r="26" spans="1:51">
      <c r="A26" s="219">
        <v>0.4</v>
      </c>
      <c r="B26" s="7">
        <v>0.2</v>
      </c>
      <c r="C26" s="107">
        <f t="shared" si="7"/>
        <v>3.6000000000000011E-2</v>
      </c>
      <c r="D26" s="8">
        <f t="shared" si="7"/>
        <v>3.2400000000000012E-2</v>
      </c>
      <c r="E26" s="131">
        <f t="shared" si="7"/>
        <v>2.8800000000000006E-2</v>
      </c>
      <c r="G26" s="114">
        <f t="shared" si="2"/>
        <v>3.6000000000000011E-2</v>
      </c>
      <c r="H26" s="5">
        <f t="shared" si="2"/>
        <v>3.2400000000000012E-2</v>
      </c>
      <c r="I26" s="108">
        <f t="shared" si="2"/>
        <v>2.8800000000000006E-2</v>
      </c>
      <c r="K26" s="5"/>
      <c r="L26" s="5"/>
      <c r="M26" s="5"/>
      <c r="O26" s="5"/>
      <c r="P26" s="5"/>
      <c r="Q26" s="5"/>
      <c r="S26" s="5"/>
      <c r="T26" s="5"/>
      <c r="U26" s="5"/>
      <c r="W26" s="5"/>
      <c r="X26" s="5"/>
      <c r="Y26" s="5"/>
      <c r="AC26" s="5"/>
      <c r="AD26" s="5"/>
      <c r="AE26" s="5"/>
      <c r="AG26" s="5"/>
      <c r="AH26" s="5"/>
      <c r="AI26" s="5"/>
      <c r="AK26" s="5"/>
      <c r="AL26" s="5"/>
      <c r="AM26" s="5"/>
      <c r="AO26" s="5"/>
      <c r="AP26" s="5"/>
      <c r="AQ26" s="5"/>
      <c r="AS26" s="5"/>
      <c r="AT26" s="5"/>
      <c r="AU26" s="5"/>
      <c r="AW26" s="5"/>
      <c r="AX26" s="5"/>
      <c r="AY26" s="5"/>
    </row>
    <row r="27" spans="1:51">
      <c r="A27" s="219">
        <v>0.4</v>
      </c>
      <c r="B27" s="7">
        <v>0.3</v>
      </c>
      <c r="C27" s="107">
        <f t="shared" si="7"/>
        <v>5.3999999999999999E-2</v>
      </c>
      <c r="D27" s="8">
        <f t="shared" si="7"/>
        <v>4.8599999999999997E-2</v>
      </c>
      <c r="E27" s="131">
        <f t="shared" si="7"/>
        <v>4.3200000000000002E-2</v>
      </c>
      <c r="G27" s="114">
        <f t="shared" si="2"/>
        <v>5.3999999999999999E-2</v>
      </c>
      <c r="H27" s="5">
        <f t="shared" si="2"/>
        <v>4.8599999999999997E-2</v>
      </c>
      <c r="I27" s="108">
        <f t="shared" si="2"/>
        <v>4.3200000000000002E-2</v>
      </c>
      <c r="K27" s="5"/>
      <c r="L27" s="5"/>
      <c r="M27" s="5"/>
      <c r="O27" s="5"/>
      <c r="P27" s="5"/>
      <c r="Q27" s="5"/>
      <c r="S27" s="5"/>
      <c r="T27" s="5"/>
      <c r="U27" s="5"/>
      <c r="W27" s="5"/>
      <c r="X27" s="5"/>
      <c r="Y27" s="5"/>
      <c r="AC27" s="5"/>
      <c r="AD27" s="5"/>
      <c r="AE27" s="5"/>
      <c r="AG27" s="5"/>
      <c r="AH27" s="5"/>
      <c r="AI27" s="5"/>
      <c r="AK27" s="5"/>
      <c r="AL27" s="5"/>
      <c r="AM27" s="5"/>
      <c r="AO27" s="5"/>
      <c r="AP27" s="5"/>
      <c r="AQ27" s="5"/>
      <c r="AS27" s="5"/>
      <c r="AT27" s="5"/>
      <c r="AU27" s="5"/>
      <c r="AW27" s="5"/>
      <c r="AX27" s="5"/>
      <c r="AY27" s="5"/>
    </row>
    <row r="28" spans="1:51" ht="15" thickBot="1">
      <c r="A28" s="373">
        <v>0.4</v>
      </c>
      <c r="B28" s="128">
        <v>0.4</v>
      </c>
      <c r="C28" s="109">
        <f t="shared" si="7"/>
        <v>7.2000000000000022E-2</v>
      </c>
      <c r="D28" s="110">
        <f t="shared" si="7"/>
        <v>6.4800000000000024E-2</v>
      </c>
      <c r="E28" s="132">
        <f t="shared" si="7"/>
        <v>5.7600000000000012E-2</v>
      </c>
      <c r="F28" s="87"/>
      <c r="G28" s="115">
        <f t="shared" si="2"/>
        <v>7.2000000000000022E-2</v>
      </c>
      <c r="H28" s="111">
        <f t="shared" si="2"/>
        <v>6.4800000000000024E-2</v>
      </c>
      <c r="I28" s="112">
        <f t="shared" si="2"/>
        <v>5.7600000000000012E-2</v>
      </c>
      <c r="K28" s="5"/>
      <c r="L28" s="5"/>
      <c r="M28" s="5"/>
      <c r="O28" s="5"/>
      <c r="P28" s="5"/>
      <c r="Q28" s="5"/>
      <c r="S28" s="5"/>
      <c r="T28" s="5"/>
      <c r="U28" s="5"/>
      <c r="W28" s="5"/>
      <c r="X28" s="5"/>
      <c r="Y28" s="5"/>
      <c r="AC28" s="5"/>
      <c r="AD28" s="5"/>
      <c r="AE28" s="5"/>
      <c r="AG28" s="5"/>
      <c r="AH28" s="5"/>
      <c r="AI28" s="5"/>
      <c r="AK28" s="5"/>
      <c r="AL28" s="5"/>
      <c r="AM28" s="5"/>
      <c r="AO28" s="5"/>
      <c r="AP28" s="5"/>
      <c r="AQ28" s="5"/>
      <c r="AS28" s="5"/>
      <c r="AT28" s="5"/>
      <c r="AU28" s="5"/>
      <c r="AW28" s="5"/>
      <c r="AX28" s="5"/>
      <c r="AY28" s="5"/>
    </row>
    <row r="29" spans="1:51">
      <c r="A29" s="218">
        <v>0.5</v>
      </c>
      <c r="B29" s="372">
        <v>0</v>
      </c>
      <c r="C29" s="129">
        <f t="shared" ref="C29:E29" si="8">$A$10*$B29*C$7*$G$56</f>
        <v>0</v>
      </c>
      <c r="D29" s="124">
        <f t="shared" si="8"/>
        <v>0</v>
      </c>
      <c r="E29" s="130">
        <f t="shared" si="8"/>
        <v>0</v>
      </c>
      <c r="F29" s="125"/>
      <c r="G29" s="133">
        <f>C29</f>
        <v>0</v>
      </c>
      <c r="H29" s="126">
        <f>D29</f>
        <v>0</v>
      </c>
      <c r="I29" s="127">
        <f>E29</f>
        <v>0</v>
      </c>
      <c r="K29" s="5"/>
      <c r="L29" s="5"/>
      <c r="M29" s="5"/>
      <c r="O29" s="5"/>
      <c r="P29" s="5"/>
      <c r="Q29" s="5"/>
      <c r="S29" s="5"/>
      <c r="T29" s="5"/>
      <c r="U29" s="5"/>
      <c r="W29" s="5"/>
      <c r="X29" s="5"/>
      <c r="Y29" s="5"/>
      <c r="AC29" s="5"/>
      <c r="AD29" s="5"/>
      <c r="AE29" s="5"/>
      <c r="AG29" s="5"/>
      <c r="AH29" s="5"/>
      <c r="AI29" s="5"/>
      <c r="AK29" s="5"/>
      <c r="AL29" s="5"/>
      <c r="AM29" s="5"/>
      <c r="AO29" s="5"/>
      <c r="AP29" s="5"/>
      <c r="AQ29" s="5"/>
      <c r="AS29" s="5"/>
      <c r="AT29" s="5"/>
      <c r="AU29" s="5"/>
      <c r="AW29" s="5"/>
      <c r="AX29" s="5"/>
      <c r="AY29" s="5"/>
    </row>
    <row r="30" spans="1:51">
      <c r="A30" s="219">
        <v>0.5</v>
      </c>
      <c r="B30" s="7">
        <v>0.1</v>
      </c>
      <c r="C30" s="107">
        <f t="shared" ref="C30:E33" si="9">$A$30*$B30*C$7*$G$56</f>
        <v>2.2500000000000003E-2</v>
      </c>
      <c r="D30" s="8">
        <f t="shared" si="9"/>
        <v>2.0250000000000004E-2</v>
      </c>
      <c r="E30" s="131">
        <f t="shared" si="9"/>
        <v>1.8000000000000006E-2</v>
      </c>
      <c r="G30" s="114">
        <f t="shared" si="2"/>
        <v>2.2500000000000003E-2</v>
      </c>
      <c r="H30" s="5">
        <f t="shared" si="2"/>
        <v>2.0250000000000004E-2</v>
      </c>
      <c r="I30" s="108">
        <f t="shared" si="2"/>
        <v>1.8000000000000006E-2</v>
      </c>
      <c r="K30" s="5"/>
      <c r="L30" s="5"/>
      <c r="M30" s="5"/>
      <c r="O30" s="5"/>
      <c r="P30" s="5"/>
      <c r="Q30" s="5"/>
      <c r="S30" s="5"/>
      <c r="T30" s="5"/>
      <c r="U30" s="5"/>
      <c r="W30" s="5"/>
      <c r="X30" s="5"/>
      <c r="Y30" s="5"/>
    </row>
    <row r="31" spans="1:51">
      <c r="A31" s="219">
        <v>0.5</v>
      </c>
      <c r="B31" s="7">
        <v>0.2</v>
      </c>
      <c r="C31" s="107">
        <f t="shared" si="9"/>
        <v>4.5000000000000005E-2</v>
      </c>
      <c r="D31" s="8">
        <f t="shared" si="9"/>
        <v>4.0500000000000008E-2</v>
      </c>
      <c r="E31" s="131">
        <f t="shared" si="9"/>
        <v>3.6000000000000011E-2</v>
      </c>
      <c r="G31" s="114">
        <f t="shared" si="2"/>
        <v>4.5000000000000005E-2</v>
      </c>
      <c r="H31" s="5">
        <f t="shared" si="2"/>
        <v>4.0500000000000008E-2</v>
      </c>
      <c r="I31" s="108">
        <f t="shared" si="2"/>
        <v>3.6000000000000011E-2</v>
      </c>
      <c r="K31" s="5"/>
      <c r="L31" s="5"/>
      <c r="M31" s="5"/>
      <c r="O31" s="5"/>
      <c r="P31" s="5"/>
      <c r="Q31" s="5"/>
      <c r="S31" s="5"/>
      <c r="T31" s="5"/>
      <c r="U31" s="5"/>
      <c r="W31" s="5"/>
      <c r="X31" s="5"/>
      <c r="Y31" s="5"/>
    </row>
    <row r="32" spans="1:51">
      <c r="A32" s="219">
        <v>0.5</v>
      </c>
      <c r="B32" s="7">
        <v>0.3</v>
      </c>
      <c r="C32" s="107">
        <f t="shared" si="9"/>
        <v>6.7500000000000004E-2</v>
      </c>
      <c r="D32" s="8">
        <f t="shared" si="9"/>
        <v>6.0750000000000005E-2</v>
      </c>
      <c r="E32" s="131">
        <f t="shared" si="9"/>
        <v>5.3999999999999999E-2</v>
      </c>
      <c r="G32" s="114">
        <f t="shared" si="2"/>
        <v>6.7500000000000004E-2</v>
      </c>
      <c r="H32" s="5">
        <f t="shared" si="2"/>
        <v>6.0750000000000005E-2</v>
      </c>
      <c r="I32" s="108">
        <f t="shared" si="2"/>
        <v>5.3999999999999999E-2</v>
      </c>
      <c r="K32" s="5"/>
      <c r="L32" s="5"/>
      <c r="M32" s="5"/>
      <c r="O32" s="5"/>
      <c r="P32" s="5"/>
      <c r="Q32" s="5"/>
      <c r="S32" s="5"/>
      <c r="T32" s="5"/>
      <c r="U32" s="5"/>
      <c r="W32" s="5"/>
      <c r="X32" s="5"/>
      <c r="Y32" s="5"/>
    </row>
    <row r="33" spans="1:25" ht="15" thickBot="1">
      <c r="A33" s="373">
        <v>0.5</v>
      </c>
      <c r="B33" s="128">
        <v>0.4</v>
      </c>
      <c r="C33" s="109">
        <f t="shared" si="9"/>
        <v>9.0000000000000011E-2</v>
      </c>
      <c r="D33" s="110">
        <f t="shared" si="9"/>
        <v>8.1000000000000016E-2</v>
      </c>
      <c r="E33" s="132">
        <f t="shared" si="9"/>
        <v>7.2000000000000022E-2</v>
      </c>
      <c r="F33" s="87"/>
      <c r="G33" s="115">
        <f t="shared" si="2"/>
        <v>9.0000000000000011E-2</v>
      </c>
      <c r="H33" s="111">
        <f t="shared" si="2"/>
        <v>8.1000000000000016E-2</v>
      </c>
      <c r="I33" s="112">
        <f t="shared" si="2"/>
        <v>7.2000000000000022E-2</v>
      </c>
      <c r="K33" s="5"/>
      <c r="L33" s="5"/>
      <c r="M33" s="5"/>
      <c r="O33" s="5"/>
      <c r="P33" s="5"/>
      <c r="Q33" s="5"/>
      <c r="S33" s="5"/>
      <c r="T33" s="5"/>
      <c r="U33" s="5"/>
      <c r="W33" s="5"/>
      <c r="X33" s="5"/>
      <c r="Y33" s="5"/>
    </row>
    <row r="34" spans="1:25">
      <c r="A34" s="218">
        <v>0.6</v>
      </c>
      <c r="B34" s="372">
        <v>0</v>
      </c>
      <c r="C34" s="129">
        <f t="shared" ref="C34:E34" si="10">$A$10*$B34*C$7*$G$56</f>
        <v>0</v>
      </c>
      <c r="D34" s="124">
        <f t="shared" si="10"/>
        <v>0</v>
      </c>
      <c r="E34" s="130">
        <f t="shared" si="10"/>
        <v>0</v>
      </c>
      <c r="F34" s="125"/>
      <c r="G34" s="133">
        <f>C34</f>
        <v>0</v>
      </c>
      <c r="H34" s="126">
        <f>D34</f>
        <v>0</v>
      </c>
      <c r="I34" s="127">
        <f>E34</f>
        <v>0</v>
      </c>
      <c r="K34" s="5"/>
      <c r="L34" s="5"/>
      <c r="M34" s="5"/>
      <c r="O34" s="5"/>
      <c r="P34" s="5"/>
      <c r="Q34" s="5"/>
      <c r="S34" s="5"/>
      <c r="T34" s="5"/>
      <c r="U34" s="5"/>
      <c r="W34" s="5"/>
      <c r="X34" s="5"/>
      <c r="Y34" s="5"/>
    </row>
    <row r="35" spans="1:25">
      <c r="A35" s="219">
        <v>0.6</v>
      </c>
      <c r="B35" s="7">
        <v>0.1</v>
      </c>
      <c r="C35" s="107">
        <f t="shared" ref="C35:E38" si="11">$A$35*$B35*C$7*$G$56</f>
        <v>2.7E-2</v>
      </c>
      <c r="D35" s="8">
        <f t="shared" si="11"/>
        <v>2.4299999999999999E-2</v>
      </c>
      <c r="E35" s="131">
        <f t="shared" si="11"/>
        <v>2.1600000000000001E-2</v>
      </c>
      <c r="G35" s="114">
        <f t="shared" si="2"/>
        <v>2.7E-2</v>
      </c>
      <c r="H35" s="5">
        <f t="shared" si="2"/>
        <v>2.4299999999999999E-2</v>
      </c>
      <c r="I35" s="108">
        <f t="shared" si="2"/>
        <v>2.1600000000000001E-2</v>
      </c>
      <c r="K35" s="5"/>
      <c r="L35" s="5"/>
      <c r="M35" s="5"/>
      <c r="O35" s="5"/>
      <c r="P35" s="5"/>
      <c r="Q35" s="5"/>
      <c r="S35" s="5"/>
      <c r="T35" s="5"/>
      <c r="U35" s="5"/>
      <c r="W35" s="5"/>
      <c r="X35" s="5"/>
      <c r="Y35" s="5"/>
    </row>
    <row r="36" spans="1:25">
      <c r="A36" s="219">
        <v>0.6</v>
      </c>
      <c r="B36" s="7">
        <v>0.2</v>
      </c>
      <c r="C36" s="107">
        <f t="shared" si="11"/>
        <v>5.3999999999999999E-2</v>
      </c>
      <c r="D36" s="8">
        <f t="shared" si="11"/>
        <v>4.8599999999999997E-2</v>
      </c>
      <c r="E36" s="131">
        <f t="shared" si="11"/>
        <v>4.3200000000000002E-2</v>
      </c>
      <c r="G36" s="114">
        <f t="shared" si="2"/>
        <v>5.3999999999999999E-2</v>
      </c>
      <c r="H36" s="5">
        <f t="shared" si="2"/>
        <v>4.8599999999999997E-2</v>
      </c>
      <c r="I36" s="108">
        <f t="shared" si="2"/>
        <v>4.3200000000000002E-2</v>
      </c>
      <c r="K36" s="5"/>
      <c r="L36" s="5"/>
      <c r="M36" s="5"/>
      <c r="O36" s="5"/>
      <c r="P36" s="5"/>
      <c r="Q36" s="5"/>
      <c r="S36" s="5"/>
      <c r="T36" s="5"/>
      <c r="U36" s="5"/>
      <c r="W36" s="5"/>
      <c r="X36" s="5"/>
      <c r="Y36" s="5"/>
    </row>
    <row r="37" spans="1:25">
      <c r="A37" s="219">
        <v>0.6</v>
      </c>
      <c r="B37" s="7">
        <v>0.3</v>
      </c>
      <c r="C37" s="107">
        <f t="shared" si="11"/>
        <v>8.1000000000000003E-2</v>
      </c>
      <c r="D37" s="8">
        <f t="shared" si="11"/>
        <v>7.2900000000000006E-2</v>
      </c>
      <c r="E37" s="131">
        <f t="shared" si="11"/>
        <v>6.4799999999999996E-2</v>
      </c>
      <c r="G37" s="114">
        <f t="shared" si="2"/>
        <v>8.1000000000000003E-2</v>
      </c>
      <c r="H37" s="5">
        <f t="shared" si="2"/>
        <v>7.2900000000000006E-2</v>
      </c>
      <c r="I37" s="108">
        <f t="shared" si="2"/>
        <v>6.4799999999999996E-2</v>
      </c>
      <c r="K37" s="5"/>
      <c r="L37" s="5"/>
      <c r="M37" s="5"/>
      <c r="O37" s="5"/>
      <c r="P37" s="5"/>
      <c r="Q37" s="5"/>
      <c r="S37" s="5"/>
      <c r="T37" s="5"/>
      <c r="U37" s="5"/>
      <c r="W37" s="5"/>
      <c r="X37" s="5"/>
      <c r="Y37" s="5"/>
    </row>
    <row r="38" spans="1:25" ht="15" thickBot="1">
      <c r="A38" s="373">
        <v>0.6</v>
      </c>
      <c r="B38" s="128">
        <v>0.4</v>
      </c>
      <c r="C38" s="109">
        <f t="shared" si="11"/>
        <v>0.108</v>
      </c>
      <c r="D38" s="110">
        <f t="shared" si="11"/>
        <v>9.7199999999999995E-2</v>
      </c>
      <c r="E38" s="132">
        <f t="shared" si="11"/>
        <v>8.6400000000000005E-2</v>
      </c>
      <c r="F38" s="87"/>
      <c r="G38" s="115">
        <f t="shared" si="2"/>
        <v>0.108</v>
      </c>
      <c r="H38" s="111">
        <f t="shared" si="2"/>
        <v>9.7199999999999995E-2</v>
      </c>
      <c r="I38" s="112">
        <f t="shared" si="2"/>
        <v>8.6400000000000005E-2</v>
      </c>
      <c r="K38" s="5"/>
      <c r="L38" s="5"/>
      <c r="M38" s="5"/>
      <c r="O38" s="5"/>
      <c r="P38" s="5"/>
      <c r="Q38" s="5"/>
      <c r="S38" s="5"/>
      <c r="T38" s="5"/>
      <c r="U38" s="5"/>
      <c r="W38" s="5"/>
      <c r="X38" s="5"/>
      <c r="Y38" s="5"/>
    </row>
    <row r="39" spans="1:25">
      <c r="A39" s="218">
        <v>0.7</v>
      </c>
      <c r="B39" s="372">
        <v>0</v>
      </c>
      <c r="C39" s="129">
        <f t="shared" ref="C39:E39" si="12">$A$10*$B39*C$7*$G$56</f>
        <v>0</v>
      </c>
      <c r="D39" s="124">
        <f t="shared" si="12"/>
        <v>0</v>
      </c>
      <c r="E39" s="130">
        <f t="shared" si="12"/>
        <v>0</v>
      </c>
      <c r="F39" s="125"/>
      <c r="G39" s="133">
        <f>C39</f>
        <v>0</v>
      </c>
      <c r="H39" s="126">
        <f>D39</f>
        <v>0</v>
      </c>
      <c r="I39" s="127">
        <f>E39</f>
        <v>0</v>
      </c>
      <c r="K39" s="5"/>
      <c r="L39" s="5"/>
      <c r="M39" s="5"/>
      <c r="O39" s="5"/>
      <c r="P39" s="5"/>
      <c r="Q39" s="5"/>
      <c r="S39" s="5"/>
      <c r="T39" s="5"/>
      <c r="U39" s="5"/>
      <c r="W39" s="5"/>
      <c r="X39" s="5"/>
      <c r="Y39" s="5"/>
    </row>
    <row r="40" spans="1:25">
      <c r="A40" s="219">
        <v>0.7</v>
      </c>
      <c r="B40" s="7">
        <v>0.1</v>
      </c>
      <c r="C40" s="107">
        <f t="shared" ref="C40:E43" si="13">$A$40*$B40*C$7*$G$56</f>
        <v>3.15E-2</v>
      </c>
      <c r="D40" s="8">
        <f t="shared" si="13"/>
        <v>2.835E-2</v>
      </c>
      <c r="E40" s="131">
        <f t="shared" si="13"/>
        <v>2.5199999999999997E-2</v>
      </c>
      <c r="G40" s="114">
        <f t="shared" si="2"/>
        <v>3.15E-2</v>
      </c>
      <c r="H40" s="5">
        <f t="shared" si="2"/>
        <v>2.835E-2</v>
      </c>
      <c r="I40" s="108">
        <f t="shared" si="2"/>
        <v>2.5199999999999997E-2</v>
      </c>
      <c r="K40" s="5"/>
      <c r="L40" s="5"/>
      <c r="M40" s="5"/>
      <c r="O40" s="5"/>
      <c r="P40" s="5"/>
      <c r="Q40" s="5"/>
      <c r="S40" s="5"/>
      <c r="T40" s="5"/>
      <c r="U40" s="5"/>
      <c r="W40" s="5"/>
      <c r="X40" s="5"/>
      <c r="Y40" s="5"/>
    </row>
    <row r="41" spans="1:25">
      <c r="A41" s="219">
        <v>0.7</v>
      </c>
      <c r="B41" s="7">
        <v>0.2</v>
      </c>
      <c r="C41" s="107">
        <f t="shared" si="13"/>
        <v>6.3E-2</v>
      </c>
      <c r="D41" s="8">
        <f t="shared" si="13"/>
        <v>5.67E-2</v>
      </c>
      <c r="E41" s="131">
        <f t="shared" si="13"/>
        <v>5.0399999999999993E-2</v>
      </c>
      <c r="G41" s="114">
        <f t="shared" si="2"/>
        <v>6.3E-2</v>
      </c>
      <c r="H41" s="5">
        <f t="shared" si="2"/>
        <v>5.67E-2</v>
      </c>
      <c r="I41" s="108">
        <f t="shared" si="2"/>
        <v>5.0399999999999993E-2</v>
      </c>
      <c r="K41" s="5"/>
      <c r="L41" s="5"/>
      <c r="M41" s="5"/>
      <c r="O41" s="5"/>
      <c r="P41" s="5"/>
      <c r="Q41" s="5"/>
      <c r="S41" s="5"/>
      <c r="T41" s="5"/>
      <c r="U41" s="5"/>
      <c r="W41" s="5"/>
      <c r="X41" s="5"/>
      <c r="Y41" s="5"/>
    </row>
    <row r="42" spans="1:25">
      <c r="A42" s="219">
        <v>0.7</v>
      </c>
      <c r="B42" s="7">
        <v>0.3</v>
      </c>
      <c r="C42" s="107">
        <f t="shared" si="13"/>
        <v>9.4500000000000001E-2</v>
      </c>
      <c r="D42" s="8">
        <f t="shared" si="13"/>
        <v>8.5050000000000001E-2</v>
      </c>
      <c r="E42" s="131">
        <f t="shared" si="13"/>
        <v>7.5600000000000001E-2</v>
      </c>
      <c r="G42" s="114">
        <f t="shared" si="2"/>
        <v>9.4500000000000001E-2</v>
      </c>
      <c r="H42" s="5">
        <f t="shared" si="2"/>
        <v>8.5050000000000001E-2</v>
      </c>
      <c r="I42" s="108">
        <f t="shared" si="2"/>
        <v>7.5600000000000001E-2</v>
      </c>
      <c r="K42" s="5"/>
      <c r="L42" s="5"/>
      <c r="M42" s="5"/>
      <c r="O42" s="5"/>
      <c r="P42" s="5"/>
      <c r="Q42" s="5"/>
      <c r="S42" s="5"/>
      <c r="T42" s="5"/>
      <c r="U42" s="5"/>
      <c r="W42" s="5"/>
      <c r="X42" s="5"/>
      <c r="Y42" s="5"/>
    </row>
    <row r="43" spans="1:25" ht="15" thickBot="1">
      <c r="A43" s="373">
        <v>0.7</v>
      </c>
      <c r="B43" s="128">
        <v>0.4</v>
      </c>
      <c r="C43" s="109">
        <f t="shared" si="13"/>
        <v>0.126</v>
      </c>
      <c r="D43" s="110">
        <f t="shared" si="13"/>
        <v>0.1134</v>
      </c>
      <c r="E43" s="132">
        <f t="shared" si="13"/>
        <v>0.10079999999999999</v>
      </c>
      <c r="F43" s="87"/>
      <c r="G43" s="115">
        <f t="shared" si="2"/>
        <v>0.126</v>
      </c>
      <c r="H43" s="111">
        <f t="shared" si="2"/>
        <v>0.1134</v>
      </c>
      <c r="I43" s="112">
        <f t="shared" si="2"/>
        <v>0.10079999999999999</v>
      </c>
      <c r="K43" s="5"/>
      <c r="L43" s="5"/>
      <c r="M43" s="5"/>
      <c r="O43" s="5"/>
      <c r="P43" s="5"/>
      <c r="Q43" s="5"/>
      <c r="S43" s="5"/>
      <c r="T43" s="5"/>
      <c r="U43" s="5"/>
      <c r="W43" s="5"/>
      <c r="X43" s="5"/>
      <c r="Y43" s="5"/>
    </row>
    <row r="44" spans="1:25">
      <c r="A44" s="218">
        <v>0.8</v>
      </c>
      <c r="B44" s="372">
        <v>0</v>
      </c>
      <c r="C44" s="129">
        <f t="shared" ref="C44:E44" si="14">$A$10*$B44*C$7*$G$56</f>
        <v>0</v>
      </c>
      <c r="D44" s="124">
        <f t="shared" si="14"/>
        <v>0</v>
      </c>
      <c r="E44" s="130">
        <f t="shared" si="14"/>
        <v>0</v>
      </c>
      <c r="F44" s="125"/>
      <c r="G44" s="133">
        <f>C44</f>
        <v>0</v>
      </c>
      <c r="H44" s="126">
        <f>D44</f>
        <v>0</v>
      </c>
      <c r="I44" s="127">
        <f>E44</f>
        <v>0</v>
      </c>
      <c r="K44" s="5"/>
      <c r="L44" s="5"/>
      <c r="M44" s="5"/>
      <c r="O44" s="5"/>
      <c r="P44" s="5"/>
      <c r="Q44" s="5"/>
      <c r="S44" s="5"/>
      <c r="T44" s="5"/>
      <c r="U44" s="5"/>
      <c r="W44" s="5"/>
      <c r="X44" s="5"/>
      <c r="Y44" s="5"/>
    </row>
    <row r="45" spans="1:25">
      <c r="A45" s="219">
        <v>0.8</v>
      </c>
      <c r="B45" s="7">
        <v>0.1</v>
      </c>
      <c r="C45" s="107">
        <f t="shared" ref="C45:E48" si="15">$A$45*$B45*C$7*$G$56</f>
        <v>3.6000000000000011E-2</v>
      </c>
      <c r="D45" s="8">
        <f t="shared" si="15"/>
        <v>3.2400000000000012E-2</v>
      </c>
      <c r="E45" s="131">
        <f t="shared" si="15"/>
        <v>2.8800000000000006E-2</v>
      </c>
      <c r="G45" s="114">
        <f t="shared" si="2"/>
        <v>3.6000000000000011E-2</v>
      </c>
      <c r="H45" s="5">
        <f t="shared" si="2"/>
        <v>3.2400000000000012E-2</v>
      </c>
      <c r="I45" s="108">
        <f t="shared" si="2"/>
        <v>2.8800000000000006E-2</v>
      </c>
      <c r="K45" s="5"/>
      <c r="L45" s="5"/>
      <c r="M45" s="5"/>
      <c r="O45" s="5"/>
      <c r="P45" s="5"/>
      <c r="Q45" s="5"/>
      <c r="S45" s="5"/>
      <c r="T45" s="5"/>
      <c r="U45" s="5"/>
      <c r="W45" s="5"/>
      <c r="X45" s="5"/>
      <c r="Y45" s="5"/>
    </row>
    <row r="46" spans="1:25">
      <c r="A46" s="219">
        <v>0.8</v>
      </c>
      <c r="B46" s="7">
        <v>0.2</v>
      </c>
      <c r="C46" s="107">
        <f t="shared" si="15"/>
        <v>7.2000000000000022E-2</v>
      </c>
      <c r="D46" s="8">
        <f t="shared" si="15"/>
        <v>6.4800000000000024E-2</v>
      </c>
      <c r="E46" s="131">
        <f t="shared" si="15"/>
        <v>5.7600000000000012E-2</v>
      </c>
      <c r="G46" s="114">
        <f t="shared" si="2"/>
        <v>7.2000000000000022E-2</v>
      </c>
      <c r="H46" s="5">
        <f t="shared" si="2"/>
        <v>6.4800000000000024E-2</v>
      </c>
      <c r="I46" s="108">
        <f t="shared" si="2"/>
        <v>5.7600000000000012E-2</v>
      </c>
      <c r="K46" s="5"/>
      <c r="L46" s="5"/>
      <c r="M46" s="5"/>
      <c r="O46" s="5"/>
      <c r="P46" s="5"/>
      <c r="Q46" s="5"/>
      <c r="S46" s="5"/>
      <c r="T46" s="5"/>
      <c r="U46" s="5"/>
      <c r="W46" s="5"/>
      <c r="X46" s="5"/>
      <c r="Y46" s="5"/>
    </row>
    <row r="47" spans="1:25">
      <c r="A47" s="219">
        <v>0.8</v>
      </c>
      <c r="B47" s="7">
        <v>0.3</v>
      </c>
      <c r="C47" s="107">
        <f t="shared" si="15"/>
        <v>0.108</v>
      </c>
      <c r="D47" s="8">
        <f t="shared" si="15"/>
        <v>9.7199999999999995E-2</v>
      </c>
      <c r="E47" s="131">
        <f t="shared" si="15"/>
        <v>8.6400000000000005E-2</v>
      </c>
      <c r="G47" s="114">
        <f t="shared" si="2"/>
        <v>0.108</v>
      </c>
      <c r="H47" s="5">
        <f t="shared" si="2"/>
        <v>9.7199999999999995E-2</v>
      </c>
      <c r="I47" s="108">
        <f t="shared" si="2"/>
        <v>8.6400000000000005E-2</v>
      </c>
      <c r="K47" s="5"/>
      <c r="L47" s="5"/>
      <c r="M47" s="5"/>
      <c r="O47" s="5"/>
      <c r="P47" s="5"/>
      <c r="Q47" s="5"/>
      <c r="S47" s="5"/>
      <c r="T47" s="5"/>
      <c r="U47" s="5"/>
      <c r="W47" s="5"/>
      <c r="X47" s="5"/>
      <c r="Y47" s="5"/>
    </row>
    <row r="48" spans="1:25" ht="15" thickBot="1">
      <c r="A48" s="373">
        <v>0.8</v>
      </c>
      <c r="B48" s="128">
        <v>0.4</v>
      </c>
      <c r="C48" s="109">
        <f t="shared" si="15"/>
        <v>0.14400000000000004</v>
      </c>
      <c r="D48" s="110">
        <f t="shared" si="15"/>
        <v>0.12960000000000005</v>
      </c>
      <c r="E48" s="132">
        <f t="shared" si="15"/>
        <v>0.11520000000000002</v>
      </c>
      <c r="F48" s="87"/>
      <c r="G48" s="115">
        <f t="shared" si="2"/>
        <v>0.14400000000000004</v>
      </c>
      <c r="H48" s="111">
        <f t="shared" si="2"/>
        <v>0.12960000000000005</v>
      </c>
      <c r="I48" s="112">
        <f t="shared" si="2"/>
        <v>0.11520000000000002</v>
      </c>
      <c r="K48" s="5"/>
      <c r="L48" s="5"/>
      <c r="M48" s="5"/>
      <c r="O48" s="5"/>
      <c r="P48" s="5"/>
      <c r="Q48" s="5"/>
      <c r="S48" s="5"/>
      <c r="T48" s="5"/>
      <c r="U48" s="5"/>
      <c r="W48" s="5"/>
      <c r="X48" s="5"/>
      <c r="Y48" s="5"/>
    </row>
    <row r="49" spans="1:25">
      <c r="A49" s="218">
        <v>0.9</v>
      </c>
      <c r="B49" s="372">
        <v>0</v>
      </c>
      <c r="C49" s="129">
        <f t="shared" ref="C49:E49" si="16">$A$10*$B49*C$7*$G$56</f>
        <v>0</v>
      </c>
      <c r="D49" s="124">
        <f t="shared" si="16"/>
        <v>0</v>
      </c>
      <c r="E49" s="130">
        <f t="shared" si="16"/>
        <v>0</v>
      </c>
      <c r="F49" s="125"/>
      <c r="G49" s="133">
        <f>C49</f>
        <v>0</v>
      </c>
      <c r="H49" s="126">
        <f>D49</f>
        <v>0</v>
      </c>
      <c r="I49" s="127">
        <f>E49</f>
        <v>0</v>
      </c>
      <c r="K49" s="5"/>
      <c r="L49" s="5"/>
      <c r="M49" s="5"/>
      <c r="O49" s="5"/>
      <c r="P49" s="5"/>
      <c r="Q49" s="5"/>
      <c r="S49" s="5"/>
      <c r="T49" s="5"/>
      <c r="U49" s="5"/>
      <c r="W49" s="5"/>
      <c r="X49" s="5"/>
      <c r="Y49" s="5"/>
    </row>
    <row r="50" spans="1:25">
      <c r="A50" s="219">
        <v>0.9</v>
      </c>
      <c r="B50" s="7">
        <v>0.1</v>
      </c>
      <c r="C50" s="107">
        <f t="shared" ref="C50:E53" si="17">$A$50*$B50*C$7*$G$56</f>
        <v>4.0500000000000008E-2</v>
      </c>
      <c r="D50" s="8">
        <f t="shared" si="17"/>
        <v>3.645000000000001E-2</v>
      </c>
      <c r="E50" s="131">
        <f t="shared" si="17"/>
        <v>3.2400000000000005E-2</v>
      </c>
      <c r="G50" s="114">
        <f t="shared" si="2"/>
        <v>4.0500000000000008E-2</v>
      </c>
      <c r="H50" s="5">
        <f t="shared" si="2"/>
        <v>3.645000000000001E-2</v>
      </c>
      <c r="I50" s="108">
        <f t="shared" si="2"/>
        <v>3.2400000000000005E-2</v>
      </c>
      <c r="K50" s="5"/>
      <c r="L50" s="5"/>
      <c r="M50" s="5"/>
      <c r="O50" s="5"/>
      <c r="P50" s="5"/>
      <c r="Q50" s="5"/>
      <c r="S50" s="5"/>
      <c r="T50" s="5"/>
      <c r="U50" s="5"/>
      <c r="W50" s="5"/>
      <c r="X50" s="5"/>
      <c r="Y50" s="5"/>
    </row>
    <row r="51" spans="1:25">
      <c r="A51" s="219">
        <v>0.9</v>
      </c>
      <c r="B51" s="7">
        <v>0.2</v>
      </c>
      <c r="C51" s="107">
        <f t="shared" si="17"/>
        <v>8.1000000000000016E-2</v>
      </c>
      <c r="D51" s="8">
        <f t="shared" si="17"/>
        <v>7.290000000000002E-2</v>
      </c>
      <c r="E51" s="131">
        <f t="shared" si="17"/>
        <v>6.480000000000001E-2</v>
      </c>
      <c r="G51" s="114">
        <f t="shared" si="2"/>
        <v>8.1000000000000016E-2</v>
      </c>
      <c r="H51" s="5">
        <f t="shared" si="2"/>
        <v>7.290000000000002E-2</v>
      </c>
      <c r="I51" s="108">
        <f t="shared" si="2"/>
        <v>6.480000000000001E-2</v>
      </c>
      <c r="K51" s="5"/>
      <c r="L51" s="5"/>
      <c r="M51" s="5"/>
      <c r="O51" s="5"/>
      <c r="P51" s="5"/>
      <c r="Q51" s="5"/>
      <c r="S51" s="5"/>
      <c r="T51" s="5"/>
      <c r="U51" s="5"/>
      <c r="W51" s="5"/>
      <c r="X51" s="5"/>
      <c r="Y51" s="5"/>
    </row>
    <row r="52" spans="1:25" ht="15" thickBot="1">
      <c r="A52" s="219">
        <v>0.9</v>
      </c>
      <c r="B52" s="7">
        <v>0.3</v>
      </c>
      <c r="C52" s="107">
        <f t="shared" si="17"/>
        <v>0.12150000000000001</v>
      </c>
      <c r="D52" s="8">
        <f t="shared" si="17"/>
        <v>0.10935000000000002</v>
      </c>
      <c r="E52" s="131">
        <f t="shared" si="17"/>
        <v>9.7200000000000009E-2</v>
      </c>
      <c r="G52" s="115">
        <f t="shared" si="2"/>
        <v>0.12150000000000001</v>
      </c>
      <c r="H52" s="111">
        <f t="shared" si="2"/>
        <v>0.10935000000000002</v>
      </c>
      <c r="I52" s="112">
        <f t="shared" si="2"/>
        <v>9.7200000000000009E-2</v>
      </c>
      <c r="K52" s="5"/>
      <c r="L52" s="5"/>
      <c r="M52" s="5"/>
      <c r="O52" s="5"/>
      <c r="P52" s="5"/>
      <c r="Q52" s="5"/>
      <c r="S52" s="5"/>
      <c r="T52" s="5"/>
      <c r="U52" s="5"/>
      <c r="W52" s="5"/>
      <c r="X52" s="5"/>
      <c r="Y52" s="5"/>
    </row>
    <row r="53" spans="1:25" ht="15" thickBot="1">
      <c r="A53" s="373">
        <v>0.9</v>
      </c>
      <c r="B53" s="128">
        <v>0.4</v>
      </c>
      <c r="C53" s="109">
        <f t="shared" si="17"/>
        <v>0.16200000000000003</v>
      </c>
      <c r="D53" s="110">
        <f t="shared" si="17"/>
        <v>0.14580000000000004</v>
      </c>
      <c r="E53" s="132">
        <f t="shared" si="17"/>
        <v>0.12960000000000002</v>
      </c>
      <c r="F53" s="87"/>
      <c r="G53" s="115">
        <f t="shared" si="2"/>
        <v>0.16200000000000003</v>
      </c>
      <c r="H53" s="111">
        <f t="shared" si="2"/>
        <v>0.14580000000000004</v>
      </c>
      <c r="I53" s="112">
        <f t="shared" si="2"/>
        <v>0.12960000000000002</v>
      </c>
      <c r="K53" s="5"/>
      <c r="L53" s="5"/>
      <c r="M53" s="5"/>
      <c r="O53" s="5"/>
      <c r="P53" s="5"/>
      <c r="Q53" s="5"/>
      <c r="S53" s="5"/>
      <c r="T53" s="5"/>
      <c r="U53" s="5"/>
      <c r="W53" s="5"/>
      <c r="X53" s="5"/>
      <c r="Y53" s="5"/>
    </row>
    <row r="56" spans="1:25">
      <c r="A56" s="753" t="s">
        <v>89</v>
      </c>
      <c r="B56" s="754"/>
      <c r="C56" s="754"/>
      <c r="D56" s="754"/>
      <c r="E56" s="754"/>
      <c r="F56" s="755"/>
      <c r="G56" s="759">
        <f>IF('Configuration Settings'!H25&gt;0,'Configuration Settings'!H25,'Configuration Settings'!J25)</f>
        <v>0.9</v>
      </c>
    </row>
    <row r="57" spans="1:25">
      <c r="A57" s="756"/>
      <c r="B57" s="757"/>
      <c r="C57" s="757"/>
      <c r="D57" s="757"/>
      <c r="E57" s="757"/>
      <c r="F57" s="758"/>
      <c r="G57" s="760"/>
    </row>
  </sheetData>
  <mergeCells count="10">
    <mergeCell ref="G3:I3"/>
    <mergeCell ref="G4:I4"/>
    <mergeCell ref="A56:F57"/>
    <mergeCell ref="G56:G57"/>
    <mergeCell ref="A4:A7"/>
    <mergeCell ref="B4:B7"/>
    <mergeCell ref="C8:E8"/>
    <mergeCell ref="G8:I8"/>
    <mergeCell ref="C5:E5"/>
    <mergeCell ref="G5:I5"/>
  </mergeCell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AK57"/>
  <sheetViews>
    <sheetView zoomScale="55" zoomScaleNormal="55" workbookViewId="0">
      <selection activeCell="P16" sqref="P16"/>
    </sheetView>
  </sheetViews>
  <sheetFormatPr defaultRowHeight="14.5"/>
  <cols>
    <col min="1" max="1" width="20.1796875" customWidth="1"/>
    <col min="2" max="2" width="15.453125" customWidth="1"/>
    <col min="3" max="3" width="10.08984375" customWidth="1"/>
    <col min="4" max="4" width="8.7265625" customWidth="1"/>
    <col min="5" max="5" width="9.54296875" customWidth="1"/>
    <col min="6" max="6" width="9.08984375" customWidth="1"/>
    <col min="7" max="7" width="10.54296875" customWidth="1"/>
    <col min="8" max="8" width="9.7265625" customWidth="1"/>
    <col min="9" max="9" width="10" customWidth="1"/>
    <col min="10" max="10" width="8.81640625" customWidth="1"/>
    <col min="11" max="11" width="10.90625" customWidth="1"/>
    <col min="12" max="12" width="9.36328125" customWidth="1"/>
    <col min="13" max="17" width="12.453125" customWidth="1"/>
    <col min="18" max="18" width="9" customWidth="1"/>
    <col min="19" max="21" width="12.453125" customWidth="1"/>
    <col min="22" max="22" width="7.453125" customWidth="1"/>
    <col min="23" max="25" width="12.453125" customWidth="1"/>
    <col min="26" max="27" width="9.08984375" customWidth="1"/>
    <col min="28" max="28" width="7.81640625" customWidth="1"/>
    <col min="29" max="29" width="8.453125" customWidth="1"/>
  </cols>
  <sheetData>
    <row r="1" spans="1:37" ht="122" customHeight="1" thickBot="1">
      <c r="A1" s="70" t="s">
        <v>67</v>
      </c>
      <c r="B1" s="773" t="s">
        <v>414</v>
      </c>
      <c r="C1" s="773"/>
      <c r="D1" s="773"/>
      <c r="E1" s="773"/>
      <c r="F1" s="773"/>
      <c r="G1" s="773"/>
      <c r="H1" s="1"/>
      <c r="I1" s="1"/>
      <c r="J1" s="1"/>
      <c r="K1" s="767" t="s">
        <v>397</v>
      </c>
      <c r="L1" s="767"/>
      <c r="M1" s="767"/>
      <c r="N1" s="69"/>
      <c r="O1" s="69"/>
      <c r="P1" s="69"/>
      <c r="Q1" s="69"/>
      <c r="R1" s="69"/>
      <c r="S1" s="69"/>
      <c r="T1" s="69"/>
      <c r="U1" s="69"/>
      <c r="V1" s="69"/>
      <c r="W1" s="69"/>
      <c r="X1" s="69"/>
      <c r="Y1" s="69"/>
      <c r="Z1" s="69"/>
      <c r="AA1" s="741"/>
      <c r="AB1" s="741"/>
      <c r="AC1" s="741"/>
      <c r="AE1" s="741"/>
      <c r="AF1" s="741"/>
      <c r="AG1" s="741"/>
      <c r="AH1" s="152"/>
      <c r="AI1" s="741"/>
      <c r="AJ1" s="741"/>
      <c r="AK1" s="741"/>
    </row>
    <row r="2" spans="1:37" ht="27" customHeight="1" thickBot="1">
      <c r="A2" s="70"/>
      <c r="B2" s="68"/>
      <c r="C2" s="768" t="s">
        <v>96</v>
      </c>
      <c r="D2" s="769"/>
      <c r="E2" s="769"/>
      <c r="F2" s="769"/>
      <c r="G2" s="769"/>
      <c r="H2" s="769"/>
      <c r="I2" s="769"/>
      <c r="J2" s="769"/>
      <c r="K2" s="769"/>
      <c r="L2" s="769"/>
      <c r="M2" s="769"/>
      <c r="N2" s="182"/>
      <c r="O2" s="762"/>
      <c r="P2" s="762"/>
      <c r="Q2" s="762"/>
      <c r="R2" s="118"/>
      <c r="S2" s="118"/>
      <c r="T2" s="118"/>
      <c r="U2" s="118"/>
      <c r="V2" s="118"/>
      <c r="W2" s="118"/>
      <c r="X2" s="118"/>
      <c r="Y2" s="118"/>
      <c r="Z2" s="68"/>
      <c r="AA2" s="710"/>
      <c r="AB2" s="710"/>
      <c r="AC2" s="710"/>
      <c r="AE2" s="710"/>
      <c r="AF2" s="710"/>
      <c r="AG2" s="710"/>
      <c r="AH2" s="104"/>
      <c r="AI2" s="710"/>
      <c r="AJ2" s="710"/>
      <c r="AK2" s="710"/>
    </row>
    <row r="3" spans="1:37" ht="45.5" customHeight="1">
      <c r="A3" s="12"/>
      <c r="B3" t="s">
        <v>90</v>
      </c>
      <c r="C3" s="768" t="s">
        <v>0</v>
      </c>
      <c r="D3" s="769"/>
      <c r="E3" s="774"/>
      <c r="F3" s="183"/>
      <c r="G3" s="775" t="s">
        <v>92</v>
      </c>
      <c r="H3" s="776"/>
      <c r="I3" s="777"/>
      <c r="J3" s="184"/>
      <c r="K3" s="768" t="s">
        <v>2</v>
      </c>
      <c r="L3" s="769"/>
      <c r="M3" s="774"/>
      <c r="N3" s="185"/>
      <c r="O3" s="118"/>
      <c r="P3" s="118"/>
      <c r="Q3" s="118"/>
      <c r="R3" s="49"/>
      <c r="S3" s="116"/>
      <c r="T3" s="116"/>
      <c r="U3" s="116"/>
      <c r="V3" s="61"/>
      <c r="W3" s="118"/>
      <c r="X3" s="118"/>
      <c r="Y3" s="118"/>
      <c r="Z3" s="49"/>
      <c r="AA3" s="710"/>
      <c r="AB3" s="710"/>
      <c r="AC3" s="710"/>
      <c r="AE3" s="710"/>
      <c r="AF3" s="710"/>
      <c r="AG3" s="710"/>
      <c r="AH3" s="151"/>
      <c r="AI3" s="710"/>
      <c r="AJ3" s="710"/>
      <c r="AK3" s="710"/>
    </row>
    <row r="4" spans="1:37" ht="38" customHeight="1" thickBot="1">
      <c r="C4" s="186" t="s">
        <v>61</v>
      </c>
      <c r="D4" s="187" t="s">
        <v>62</v>
      </c>
      <c r="E4" s="189" t="s">
        <v>64</v>
      </c>
      <c r="F4" s="188"/>
      <c r="G4" s="186" t="s">
        <v>61</v>
      </c>
      <c r="H4" s="187" t="s">
        <v>62</v>
      </c>
      <c r="I4" s="189" t="s">
        <v>64</v>
      </c>
      <c r="J4" s="183"/>
      <c r="K4" s="186" t="s">
        <v>61</v>
      </c>
      <c r="L4" s="187" t="s">
        <v>62</v>
      </c>
      <c r="M4" s="189" t="s">
        <v>64</v>
      </c>
      <c r="N4" s="189"/>
      <c r="O4" s="117"/>
      <c r="P4" s="117"/>
      <c r="Q4" s="117"/>
      <c r="R4" s="9"/>
      <c r="S4" s="117"/>
      <c r="T4" s="117"/>
      <c r="U4" s="117"/>
      <c r="V4" s="49"/>
      <c r="W4" s="117"/>
      <c r="X4" s="117"/>
      <c r="Y4" s="117"/>
      <c r="AA4" s="583"/>
      <c r="AB4" s="583"/>
      <c r="AC4" s="583"/>
      <c r="AE4" s="583"/>
      <c r="AF4" s="583"/>
      <c r="AG4" s="583"/>
      <c r="AH4" s="122"/>
      <c r="AI4" s="583"/>
      <c r="AJ4" s="583"/>
      <c r="AK4" s="583"/>
    </row>
    <row r="5" spans="1:37" ht="28.5" customHeight="1" thickBot="1">
      <c r="A5" s="6"/>
      <c r="B5" s="6" t="s">
        <v>56</v>
      </c>
      <c r="C5" s="190" t="s">
        <v>93</v>
      </c>
      <c r="D5" s="188" t="s">
        <v>94</v>
      </c>
      <c r="E5" s="201" t="s">
        <v>95</v>
      </c>
      <c r="F5" s="207" t="s">
        <v>97</v>
      </c>
      <c r="G5" s="190" t="s">
        <v>93</v>
      </c>
      <c r="H5" s="188" t="s">
        <v>94</v>
      </c>
      <c r="I5" s="201" t="s">
        <v>95</v>
      </c>
      <c r="J5" s="207" t="s">
        <v>97</v>
      </c>
      <c r="K5" s="190" t="s">
        <v>93</v>
      </c>
      <c r="L5" s="188" t="s">
        <v>94</v>
      </c>
      <c r="M5" s="201" t="s">
        <v>95</v>
      </c>
      <c r="N5" s="205" t="s">
        <v>97</v>
      </c>
      <c r="O5" s="6"/>
      <c r="P5" s="6"/>
      <c r="Q5" s="6"/>
      <c r="R5" s="6"/>
      <c r="S5" s="6"/>
      <c r="T5" s="6"/>
      <c r="U5" s="6"/>
      <c r="V5" s="6"/>
      <c r="W5" s="6"/>
      <c r="X5" s="6"/>
      <c r="Y5" s="6"/>
      <c r="Z5" s="6"/>
      <c r="AA5" s="770" t="s">
        <v>0</v>
      </c>
      <c r="AB5" s="771"/>
      <c r="AC5" s="772"/>
      <c r="AE5" s="781" t="s">
        <v>92</v>
      </c>
      <c r="AF5" s="782"/>
      <c r="AG5" s="783"/>
      <c r="AH5" s="149"/>
      <c r="AI5" s="770" t="s">
        <v>2</v>
      </c>
      <c r="AJ5" s="771"/>
      <c r="AK5" s="772"/>
    </row>
    <row r="6" spans="1:37" ht="39" customHeight="1" thickBot="1">
      <c r="A6" s="6"/>
      <c r="B6" s="116" t="s">
        <v>91</v>
      </c>
      <c r="C6" s="191">
        <f>IF('Configuration Settings'!H27&gt;0,'Configuration Settings'!H27,'Configuration Settings'!J27)</f>
        <v>0.46</v>
      </c>
      <c r="D6" s="192">
        <f>IF('Configuration Settings'!H28&gt;0,'Configuration Settings'!H28,'Configuration Settings'!J28)</f>
        <v>0.26</v>
      </c>
      <c r="E6" s="202">
        <f>IF('Configuration Settings'!H29&gt;0,'Configuration Settings'!H29,'Configuration Settings'!J29)</f>
        <v>0.28000000000000003</v>
      </c>
      <c r="F6" s="186"/>
      <c r="G6" s="504">
        <f>IF('Configuration Settings'!H30&gt;0,'Configuration Settings'!H30,'Configuration Settings'!J30)</f>
        <v>0.37</v>
      </c>
      <c r="H6" s="505">
        <f>IF('Configuration Settings'!H31&gt;0,'Configuration Settings'!H31,'Configuration Settings'!J31)</f>
        <v>0.2</v>
      </c>
      <c r="I6" s="506">
        <f>IF('Configuration Settings'!H32&gt;0,'Configuration Settings'!H32,'Configuration Settings'!J32)</f>
        <v>0.43</v>
      </c>
      <c r="J6" s="209"/>
      <c r="K6" s="209">
        <f>IF('Configuration Settings'!H33&gt;0,'Configuration Settings'!H33,'Configuration Settings'!J33)</f>
        <v>0.24</v>
      </c>
      <c r="L6" s="193">
        <f>IF('Configuration Settings'!H34&gt;0,'Configuration Settings'!H34,'Configuration Settings'!J34)</f>
        <v>0.26</v>
      </c>
      <c r="M6" s="210">
        <f>IF('Configuration Settings'!H35&gt;0,'Configuration Settings'!H35,'Configuration Settings'!J35)</f>
        <v>0.5</v>
      </c>
      <c r="N6" s="211"/>
      <c r="O6" s="62"/>
      <c r="P6" s="62"/>
      <c r="Q6" s="62"/>
      <c r="R6" s="6"/>
      <c r="S6" s="62"/>
      <c r="T6" s="62"/>
      <c r="U6" s="62"/>
      <c r="V6" s="62"/>
      <c r="W6" s="62"/>
      <c r="X6" s="62"/>
      <c r="Y6" s="62"/>
      <c r="Z6" s="6"/>
      <c r="AA6" s="138" t="s">
        <v>93</v>
      </c>
      <c r="AB6" s="139" t="s">
        <v>94</v>
      </c>
      <c r="AC6" s="140" t="s">
        <v>95</v>
      </c>
      <c r="AE6" s="138" t="s">
        <v>93</v>
      </c>
      <c r="AF6" s="139" t="s">
        <v>94</v>
      </c>
      <c r="AG6" s="140" t="s">
        <v>95</v>
      </c>
      <c r="AH6" s="150"/>
      <c r="AI6" s="138" t="s">
        <v>93</v>
      </c>
      <c r="AJ6" s="139" t="s">
        <v>94</v>
      </c>
      <c r="AK6" s="140" t="s">
        <v>95</v>
      </c>
    </row>
    <row r="7" spans="1:37" ht="36.5" customHeight="1" thickBot="1">
      <c r="A7" s="6"/>
      <c r="B7" s="6" t="s">
        <v>65</v>
      </c>
      <c r="C7" s="194">
        <v>1.5</v>
      </c>
      <c r="D7" s="195">
        <v>5.5</v>
      </c>
      <c r="E7" s="203">
        <v>12</v>
      </c>
      <c r="F7" s="208">
        <f>(C6*C7)+(D6*D7)+(E6*E7)</f>
        <v>5.48</v>
      </c>
      <c r="G7" s="194">
        <v>1.5</v>
      </c>
      <c r="H7" s="195">
        <v>5.5</v>
      </c>
      <c r="I7" s="203">
        <v>18</v>
      </c>
      <c r="J7" s="208">
        <f>(G6*G7)+(H6*H7)+(I6*I7)</f>
        <v>9.3949999999999996</v>
      </c>
      <c r="K7" s="194">
        <v>1.5</v>
      </c>
      <c r="L7" s="195">
        <v>5.5</v>
      </c>
      <c r="M7" s="203">
        <v>24</v>
      </c>
      <c r="N7" s="206">
        <f>(K6*K7)+(L6*L7)+(M6*M7)</f>
        <v>13.79</v>
      </c>
      <c r="O7" s="639" t="s">
        <v>0</v>
      </c>
      <c r="P7" s="639"/>
      <c r="Q7" s="640"/>
      <c r="R7" s="6"/>
      <c r="S7" s="764" t="s">
        <v>92</v>
      </c>
      <c r="T7" s="765"/>
      <c r="U7" s="766"/>
      <c r="V7" s="62"/>
      <c r="W7" s="638" t="s">
        <v>2</v>
      </c>
      <c r="X7" s="639"/>
      <c r="Y7" s="640"/>
      <c r="Z7" s="7"/>
      <c r="AA7" s="141" t="s">
        <v>61</v>
      </c>
      <c r="AB7" s="137" t="s">
        <v>62</v>
      </c>
      <c r="AC7" s="142" t="s">
        <v>60</v>
      </c>
      <c r="AE7" s="141" t="s">
        <v>61</v>
      </c>
      <c r="AF7" s="137" t="s">
        <v>62</v>
      </c>
      <c r="AG7" s="142" t="s">
        <v>60</v>
      </c>
      <c r="AH7" s="7"/>
      <c r="AI7" s="141" t="s">
        <v>61</v>
      </c>
      <c r="AJ7" s="137" t="s">
        <v>62</v>
      </c>
      <c r="AK7" s="142" t="s">
        <v>60</v>
      </c>
    </row>
    <row r="8" spans="1:37" ht="36.5" customHeight="1" thickBot="1">
      <c r="A8" s="6"/>
      <c r="B8" s="116" t="s">
        <v>98</v>
      </c>
      <c r="C8" s="196">
        <f>(C6*C7)/$F$7</f>
        <v>0.1259124087591241</v>
      </c>
      <c r="D8" s="197">
        <f>(D6*D7)/$F$7</f>
        <v>0.26094890510948904</v>
      </c>
      <c r="E8" s="204">
        <f>(E6*E7)/$F$7</f>
        <v>0.61313868613138689</v>
      </c>
      <c r="F8" s="198"/>
      <c r="G8" s="196">
        <f>(G6*G7)/$J$7</f>
        <v>5.9073975518893027E-2</v>
      </c>
      <c r="H8" s="197">
        <f>(H6*H7)/$J$7</f>
        <v>0.1170835550824907</v>
      </c>
      <c r="I8" s="204">
        <f>(I6*I7)/$J$7</f>
        <v>0.82384246939861638</v>
      </c>
      <c r="J8" s="199"/>
      <c r="K8" s="196">
        <f>(K6*K7)/$N$7</f>
        <v>2.6105873821609862E-2</v>
      </c>
      <c r="L8" s="197">
        <f>(L6*L7)/$N$7</f>
        <v>0.10369833212472808</v>
      </c>
      <c r="M8" s="204">
        <f>(M6*M7)/$N$7</f>
        <v>0.8701957940536621</v>
      </c>
      <c r="N8" s="200"/>
      <c r="O8" s="117" t="s">
        <v>61</v>
      </c>
      <c r="P8" s="117" t="s">
        <v>62</v>
      </c>
      <c r="Q8" s="175" t="s">
        <v>64</v>
      </c>
      <c r="R8" s="6"/>
      <c r="S8" s="174" t="s">
        <v>61</v>
      </c>
      <c r="T8" s="117" t="s">
        <v>62</v>
      </c>
      <c r="U8" s="175" t="s">
        <v>64</v>
      </c>
      <c r="V8" s="62"/>
      <c r="W8" s="174" t="s">
        <v>61</v>
      </c>
      <c r="X8" s="117" t="s">
        <v>62</v>
      </c>
      <c r="Y8" s="175" t="s">
        <v>64</v>
      </c>
      <c r="Z8" s="7"/>
      <c r="AA8" s="105"/>
      <c r="AC8" s="143"/>
      <c r="AE8" s="105"/>
      <c r="AG8" s="143"/>
      <c r="AH8" s="7"/>
      <c r="AI8" s="105"/>
      <c r="AK8" s="143"/>
    </row>
    <row r="9" spans="1:37" ht="74" customHeight="1" thickBot="1">
      <c r="A9" s="6" t="s">
        <v>66</v>
      </c>
      <c r="B9" s="6" t="s">
        <v>165</v>
      </c>
      <c r="C9" s="638" t="s">
        <v>99</v>
      </c>
      <c r="D9" s="639"/>
      <c r="E9" s="640"/>
      <c r="F9" s="118"/>
      <c r="G9" s="638" t="s">
        <v>99</v>
      </c>
      <c r="H9" s="639"/>
      <c r="I9" s="640"/>
      <c r="J9" s="118"/>
      <c r="K9" s="638" t="s">
        <v>99</v>
      </c>
      <c r="L9" s="639"/>
      <c r="M9" s="640"/>
      <c r="N9" s="7"/>
      <c r="O9" s="761" t="s">
        <v>4</v>
      </c>
      <c r="P9" s="762"/>
      <c r="Q9" s="763"/>
      <c r="R9" s="7"/>
      <c r="S9" s="105"/>
      <c r="T9" s="7"/>
      <c r="U9" s="106"/>
      <c r="V9" s="7"/>
      <c r="W9" s="105"/>
      <c r="X9" s="7"/>
      <c r="Y9" s="106"/>
      <c r="Z9" s="7"/>
      <c r="AA9" s="778" t="s">
        <v>142</v>
      </c>
      <c r="AB9" s="779"/>
      <c r="AC9" s="780"/>
      <c r="AE9" s="778" t="s">
        <v>142</v>
      </c>
      <c r="AF9" s="779"/>
      <c r="AG9" s="780"/>
      <c r="AH9" s="7"/>
      <c r="AI9" s="778" t="s">
        <v>142</v>
      </c>
      <c r="AJ9" s="779"/>
      <c r="AK9" s="780"/>
    </row>
    <row r="10" spans="1:37">
      <c r="A10" s="223">
        <v>0.1</v>
      </c>
      <c r="B10" s="123">
        <v>0</v>
      </c>
      <c r="C10" s="212">
        <f>C$8*$A10</f>
        <v>1.259124087591241E-2</v>
      </c>
      <c r="D10" s="153">
        <f>D$8*$A10</f>
        <v>2.6094890510948904E-2</v>
      </c>
      <c r="E10" s="213">
        <f>E$8*$A10</f>
        <v>6.1313868613138693E-2</v>
      </c>
      <c r="F10" s="154"/>
      <c r="G10" s="212">
        <f>G$8*$A10</f>
        <v>5.9073975518893033E-3</v>
      </c>
      <c r="H10" s="153">
        <f>H$8*$A10</f>
        <v>1.1708355508249071E-2</v>
      </c>
      <c r="I10" s="213">
        <f>I$8*$A10</f>
        <v>8.2384246939861641E-2</v>
      </c>
      <c r="J10" s="155"/>
      <c r="K10" s="212">
        <f>K$8*$A10</f>
        <v>2.6105873821609862E-3</v>
      </c>
      <c r="L10" s="153">
        <f>L$8*$A10</f>
        <v>1.0369833212472809E-2</v>
      </c>
      <c r="M10" s="213">
        <f>M$8*$A10</f>
        <v>8.7019579405366212E-2</v>
      </c>
      <c r="N10" s="156"/>
      <c r="O10" s="176"/>
      <c r="P10" s="156"/>
      <c r="Q10" s="177"/>
      <c r="R10" s="156"/>
      <c r="S10" s="176"/>
      <c r="T10" s="156"/>
      <c r="U10" s="177"/>
      <c r="V10" s="156"/>
      <c r="W10" s="176"/>
      <c r="X10" s="156"/>
      <c r="Y10" s="177"/>
      <c r="Z10" s="123"/>
      <c r="AA10" s="157"/>
      <c r="AB10" s="125"/>
      <c r="AC10" s="158"/>
      <c r="AE10" s="157"/>
      <c r="AF10" s="125"/>
      <c r="AG10" s="158"/>
      <c r="AH10" s="7"/>
      <c r="AI10" s="157"/>
      <c r="AJ10" s="125"/>
      <c r="AK10" s="158"/>
    </row>
    <row r="11" spans="1:37">
      <c r="A11" s="226">
        <v>0.1</v>
      </c>
      <c r="B11" s="7">
        <v>0.05</v>
      </c>
      <c r="C11" s="214">
        <f>C$8*($A10-$B11)</f>
        <v>6.2956204379562052E-3</v>
      </c>
      <c r="D11" s="159">
        <f>D$8*($A10-$B11)</f>
        <v>1.3047445255474452E-2</v>
      </c>
      <c r="E11" s="215">
        <f>E$8*($A10-$B11)</f>
        <v>3.0656934306569347E-2</v>
      </c>
      <c r="F11" s="66"/>
      <c r="G11" s="214">
        <f>G$8*($A10-$B11)</f>
        <v>2.9536987759446517E-3</v>
      </c>
      <c r="H11" s="159">
        <f>H$8*($A10-$B11)</f>
        <v>5.8541777541245357E-3</v>
      </c>
      <c r="I11" s="215">
        <f>I$8*($A10-$B11)</f>
        <v>4.1192123469930821E-2</v>
      </c>
      <c r="J11" s="67"/>
      <c r="K11" s="214">
        <f>K$8*($A10-$B11)</f>
        <v>1.3052936910804931E-3</v>
      </c>
      <c r="L11" s="159">
        <f>L$8*($A10-$B11)</f>
        <v>5.1849166062364043E-3</v>
      </c>
      <c r="M11" s="215">
        <f>M$8*($A10-$B11)</f>
        <v>4.3509789702683106E-2</v>
      </c>
      <c r="N11" s="160"/>
      <c r="O11" s="178">
        <f>(C$10-C11)/$A$10</f>
        <v>6.295620437956205E-2</v>
      </c>
      <c r="P11" s="160">
        <f>(D$10-D11)/$A$10</f>
        <v>0.13047445255474452</v>
      </c>
      <c r="Q11" s="179">
        <f>(E$10-E11)/$A$10</f>
        <v>0.30656934306569344</v>
      </c>
      <c r="R11" s="160"/>
      <c r="S11" s="178">
        <f>(G$10-G11)/$A$10</f>
        <v>2.9536987759446517E-2</v>
      </c>
      <c r="T11" s="160">
        <f>(H$10-H11)/$A$10</f>
        <v>5.8541777541245357E-2</v>
      </c>
      <c r="U11" s="179">
        <f>(I$10-I11)/$A$10</f>
        <v>0.41192123469930819</v>
      </c>
      <c r="V11" s="160"/>
      <c r="W11" s="178">
        <f>(K$10-K11)/$A$10</f>
        <v>1.3052936910804931E-2</v>
      </c>
      <c r="X11" s="160">
        <f>(L$10-L11)/$A$10</f>
        <v>5.184916606236404E-2</v>
      </c>
      <c r="Y11" s="179">
        <f>(M$10-M11)/$A$10</f>
        <v>0.43509789702683105</v>
      </c>
      <c r="Z11" s="7"/>
      <c r="AA11" s="105"/>
      <c r="AC11" s="143"/>
      <c r="AE11" s="105"/>
      <c r="AG11" s="143"/>
      <c r="AH11" s="7"/>
      <c r="AI11" s="105"/>
      <c r="AK11" s="143"/>
    </row>
    <row r="12" spans="1:37">
      <c r="A12" s="226">
        <v>0.1</v>
      </c>
      <c r="B12" s="7" t="s">
        <v>7</v>
      </c>
      <c r="C12" s="214" t="str">
        <f>IF($B12="N/A","---",C$8*($A10-$B12))</f>
        <v>---</v>
      </c>
      <c r="D12" s="159" t="str">
        <f>IF($B12="N/A","---",D$8*($A10-$B12))</f>
        <v>---</v>
      </c>
      <c r="E12" s="215" t="str">
        <f>IF($B12="N/A","---",E$8*($A10-$B12))</f>
        <v>---</v>
      </c>
      <c r="F12" s="66"/>
      <c r="G12" s="214" t="str">
        <f>IF($B12="N/A","---",G$8*($A10-$B12))</f>
        <v>---</v>
      </c>
      <c r="H12" s="159" t="str">
        <f>IF($B12="N/A","---",H$8*($A10-$B12))</f>
        <v>---</v>
      </c>
      <c r="I12" s="215" t="str">
        <f>IF($B12="N/A","---",I$8*($A10-$B12))</f>
        <v>---</v>
      </c>
      <c r="J12" s="67"/>
      <c r="K12" s="214" t="str">
        <f>IF($B12="N/A","---",K$8*($A10-$B12))</f>
        <v>---</v>
      </c>
      <c r="L12" s="159" t="str">
        <f>IF($B12="N/A","---",L$8*($A10-$B12))</f>
        <v>---</v>
      </c>
      <c r="M12" s="215" t="str">
        <f>IF($B12="N/A","---",M$8*($A10-$B12))</f>
        <v>---</v>
      </c>
      <c r="N12" s="160"/>
      <c r="O12" s="178" t="str">
        <f t="shared" ref="O12:Q14" si="0">IF($B12="N/A","---",(C$10-C12)/$A$10)</f>
        <v>---</v>
      </c>
      <c r="P12" s="160" t="str">
        <f t="shared" si="0"/>
        <v>---</v>
      </c>
      <c r="Q12" s="179" t="str">
        <f t="shared" si="0"/>
        <v>---</v>
      </c>
      <c r="R12" s="160"/>
      <c r="S12" s="178" t="str">
        <f t="shared" ref="S12:U14" si="1">IF($B12="N/A","---",(G$10-G12)/$A$10)</f>
        <v>---</v>
      </c>
      <c r="T12" s="160" t="str">
        <f t="shared" si="1"/>
        <v>---</v>
      </c>
      <c r="U12" s="179" t="str">
        <f t="shared" si="1"/>
        <v>---</v>
      </c>
      <c r="V12" s="160"/>
      <c r="W12" s="178" t="str">
        <f t="shared" ref="W12:Y14" si="2">IF($B12="N/A","---",(K$10-K12)/$A$10)</f>
        <v>---</v>
      </c>
      <c r="X12" s="160" t="str">
        <f t="shared" si="2"/>
        <v>---</v>
      </c>
      <c r="Y12" s="179" t="str">
        <f t="shared" si="2"/>
        <v>---</v>
      </c>
      <c r="Z12" s="7"/>
      <c r="AA12" s="105"/>
      <c r="AC12" s="143"/>
      <c r="AE12" s="105"/>
      <c r="AG12" s="143"/>
      <c r="AH12" s="7"/>
      <c r="AI12" s="105"/>
      <c r="AK12" s="143"/>
    </row>
    <row r="13" spans="1:37">
      <c r="A13" s="226">
        <v>0.1</v>
      </c>
      <c r="B13" s="7" t="s">
        <v>7</v>
      </c>
      <c r="C13" s="214" t="str">
        <f>IF($B13="N/A","---",C$8*($A10-$B13))</f>
        <v>---</v>
      </c>
      <c r="D13" s="159" t="str">
        <f t="shared" ref="D13:E13" si="3">IF($B13="N/A","---",D$8*($A10-$B13))</f>
        <v>---</v>
      </c>
      <c r="E13" s="215" t="str">
        <f t="shared" si="3"/>
        <v>---</v>
      </c>
      <c r="F13" s="66"/>
      <c r="G13" s="214" t="str">
        <f t="shared" ref="G13:I13" si="4">IF($B13="N/A","---",G$8*($A10-$B13))</f>
        <v>---</v>
      </c>
      <c r="H13" s="159" t="str">
        <f t="shared" si="4"/>
        <v>---</v>
      </c>
      <c r="I13" s="215" t="str">
        <f t="shared" si="4"/>
        <v>---</v>
      </c>
      <c r="J13" s="67"/>
      <c r="K13" s="214" t="str">
        <f t="shared" ref="K13:M13" si="5">IF($B13="N/A","---",K$8*($A10-$B13))</f>
        <v>---</v>
      </c>
      <c r="L13" s="159" t="str">
        <f t="shared" si="5"/>
        <v>---</v>
      </c>
      <c r="M13" s="215" t="str">
        <f t="shared" si="5"/>
        <v>---</v>
      </c>
      <c r="N13" s="160"/>
      <c r="O13" s="178" t="str">
        <f t="shared" si="0"/>
        <v>---</v>
      </c>
      <c r="P13" s="160" t="str">
        <f t="shared" si="0"/>
        <v>---</v>
      </c>
      <c r="Q13" s="179" t="str">
        <f t="shared" si="0"/>
        <v>---</v>
      </c>
      <c r="R13" s="160"/>
      <c r="S13" s="178" t="str">
        <f t="shared" si="1"/>
        <v>---</v>
      </c>
      <c r="T13" s="160" t="str">
        <f t="shared" si="1"/>
        <v>---</v>
      </c>
      <c r="U13" s="179" t="str">
        <f t="shared" si="1"/>
        <v>---</v>
      </c>
      <c r="V13" s="160"/>
      <c r="W13" s="178" t="str">
        <f t="shared" si="2"/>
        <v>---</v>
      </c>
      <c r="X13" s="160" t="str">
        <f t="shared" si="2"/>
        <v>---</v>
      </c>
      <c r="Y13" s="179" t="str">
        <f t="shared" si="2"/>
        <v>---</v>
      </c>
      <c r="Z13" s="7"/>
      <c r="AA13" s="105"/>
      <c r="AC13" s="143"/>
      <c r="AE13" s="105"/>
      <c r="AG13" s="143"/>
      <c r="AH13" s="7"/>
      <c r="AI13" s="105"/>
      <c r="AK13" s="143"/>
    </row>
    <row r="14" spans="1:37" ht="15" thickBot="1">
      <c r="A14" s="227">
        <v>0.1</v>
      </c>
      <c r="B14" s="128" t="s">
        <v>7</v>
      </c>
      <c r="C14" s="216" t="str">
        <f>IF($B14="N/A","---",C$8*($A10-$B14))</f>
        <v>---</v>
      </c>
      <c r="D14" s="161" t="str">
        <f t="shared" ref="D14:E14" si="6">IF($B14="N/A","---",D$8*($A10-$B14))</f>
        <v>---</v>
      </c>
      <c r="E14" s="217" t="str">
        <f t="shared" si="6"/>
        <v>---</v>
      </c>
      <c r="F14" s="162"/>
      <c r="G14" s="216" t="str">
        <f t="shared" ref="G14:I14" si="7">IF($B14="N/A","---",G$8*($A10-$B14))</f>
        <v>---</v>
      </c>
      <c r="H14" s="161" t="str">
        <f t="shared" si="7"/>
        <v>---</v>
      </c>
      <c r="I14" s="217" t="str">
        <f t="shared" si="7"/>
        <v>---</v>
      </c>
      <c r="J14" s="163"/>
      <c r="K14" s="216" t="str">
        <f t="shared" ref="K14:M14" si="8">IF($B14="N/A","---",K$8*($A10-$B14))</f>
        <v>---</v>
      </c>
      <c r="L14" s="161" t="str">
        <f t="shared" si="8"/>
        <v>---</v>
      </c>
      <c r="M14" s="217" t="str">
        <f t="shared" si="8"/>
        <v>---</v>
      </c>
      <c r="N14" s="164"/>
      <c r="O14" s="180" t="str">
        <f t="shared" si="0"/>
        <v>---</v>
      </c>
      <c r="P14" s="164" t="str">
        <f t="shared" si="0"/>
        <v>---</v>
      </c>
      <c r="Q14" s="181" t="str">
        <f t="shared" si="0"/>
        <v>---</v>
      </c>
      <c r="R14" s="164"/>
      <c r="S14" s="180" t="str">
        <f t="shared" si="1"/>
        <v>---</v>
      </c>
      <c r="T14" s="164" t="str">
        <f t="shared" si="1"/>
        <v>---</v>
      </c>
      <c r="U14" s="181" t="str">
        <f t="shared" si="1"/>
        <v>---</v>
      </c>
      <c r="V14" s="164"/>
      <c r="W14" s="180" t="str">
        <f t="shared" si="2"/>
        <v>---</v>
      </c>
      <c r="X14" s="164" t="str">
        <f t="shared" si="2"/>
        <v>---</v>
      </c>
      <c r="Y14" s="181" t="str">
        <f t="shared" si="2"/>
        <v>---</v>
      </c>
      <c r="Z14" s="128"/>
      <c r="AA14" s="165"/>
      <c r="AB14" s="87"/>
      <c r="AC14" s="166"/>
      <c r="AE14" s="165"/>
      <c r="AF14" s="87"/>
      <c r="AG14" s="166"/>
      <c r="AH14" s="7"/>
      <c r="AI14" s="165"/>
      <c r="AJ14" s="87"/>
      <c r="AK14" s="166"/>
    </row>
    <row r="15" spans="1:37">
      <c r="A15" s="224">
        <v>0.2</v>
      </c>
      <c r="B15" s="123">
        <v>0</v>
      </c>
      <c r="C15" s="212">
        <f>C$8*$A15</f>
        <v>2.5182481751824821E-2</v>
      </c>
      <c r="D15" s="153">
        <f>D$8*$A15</f>
        <v>5.2189781021897808E-2</v>
      </c>
      <c r="E15" s="213">
        <f>E$8*$A15</f>
        <v>0.12262773722627739</v>
      </c>
      <c r="F15" s="123"/>
      <c r="G15" s="212">
        <f>G$8*$A15</f>
        <v>1.1814795103778607E-2</v>
      </c>
      <c r="H15" s="153">
        <f>H$8*$A15</f>
        <v>2.3416711016498143E-2</v>
      </c>
      <c r="I15" s="213">
        <f>I$8*$A15</f>
        <v>0.16476849387972328</v>
      </c>
      <c r="J15" s="155"/>
      <c r="K15" s="212">
        <f>K$8*$A15</f>
        <v>5.2211747643219723E-3</v>
      </c>
      <c r="L15" s="153">
        <f>L$8*$A15</f>
        <v>2.0739666424945617E-2</v>
      </c>
      <c r="M15" s="213">
        <f>M$8*$A15</f>
        <v>0.17403915881073242</v>
      </c>
      <c r="N15" s="156"/>
      <c r="O15" s="176"/>
      <c r="P15" s="156"/>
      <c r="Q15" s="177"/>
      <c r="R15" s="156"/>
      <c r="S15" s="176"/>
      <c r="T15" s="156"/>
      <c r="U15" s="177"/>
      <c r="V15" s="156"/>
      <c r="W15" s="176"/>
      <c r="X15" s="156"/>
      <c r="Y15" s="177"/>
      <c r="Z15" s="123"/>
      <c r="AA15" s="129"/>
      <c r="AB15" s="124"/>
      <c r="AC15" s="130"/>
      <c r="AE15" s="129"/>
      <c r="AF15" s="124"/>
      <c r="AG15" s="130"/>
      <c r="AH15" s="5"/>
      <c r="AI15" s="129"/>
      <c r="AJ15" s="124"/>
      <c r="AK15" s="130"/>
    </row>
    <row r="16" spans="1:37">
      <c r="A16" s="225">
        <v>0.2</v>
      </c>
      <c r="B16" s="7">
        <v>0.05</v>
      </c>
      <c r="C16" s="214">
        <f>C$8*($A15-$B16)</f>
        <v>1.8886861313868616E-2</v>
      </c>
      <c r="D16" s="159">
        <f>D$8*($A15-$B16)</f>
        <v>3.9142335766423363E-2</v>
      </c>
      <c r="E16" s="215">
        <f>E$8*($A15-$B16)</f>
        <v>9.197080291970805E-2</v>
      </c>
      <c r="F16" s="7"/>
      <c r="G16" s="214">
        <f>G$8*($A15-$B16)</f>
        <v>8.861096327833955E-3</v>
      </c>
      <c r="H16" s="159">
        <f>H$8*($A15-$B16)</f>
        <v>1.7562533262373607E-2</v>
      </c>
      <c r="I16" s="215">
        <f>I$8*($A15-$B16)</f>
        <v>0.12357637040979248</v>
      </c>
      <c r="J16" s="67"/>
      <c r="K16" s="214">
        <f>K$8*($A15-$B16)</f>
        <v>3.9158810732414801E-3</v>
      </c>
      <c r="L16" s="159">
        <f>L$8*($A15-$B16)</f>
        <v>1.5554749818709215E-2</v>
      </c>
      <c r="M16" s="215">
        <f>M$8*($A15-$B16)</f>
        <v>0.13052936910804933</v>
      </c>
      <c r="N16" s="160"/>
      <c r="O16" s="178">
        <f t="shared" ref="O16:Q18" si="9">(C$15-C16)/$A$15</f>
        <v>3.1478102189781018E-2</v>
      </c>
      <c r="P16" s="160">
        <f t="shared" si="9"/>
        <v>6.5237226277372218E-2</v>
      </c>
      <c r="Q16" s="179">
        <f t="shared" si="9"/>
        <v>0.15328467153284667</v>
      </c>
      <c r="R16" s="160"/>
      <c r="S16" s="178">
        <f t="shared" ref="S16:U18" si="10">(G$15-G16)/$A$15</f>
        <v>1.4768493879723258E-2</v>
      </c>
      <c r="T16" s="160">
        <f t="shared" si="10"/>
        <v>2.9270888770622679E-2</v>
      </c>
      <c r="U16" s="179">
        <f t="shared" si="10"/>
        <v>0.20596061734965398</v>
      </c>
      <c r="V16" s="160"/>
      <c r="W16" s="178">
        <f t="shared" ref="W16:Y18" si="11">(K$15-K16)/$A$15</f>
        <v>6.5264684554024611E-3</v>
      </c>
      <c r="X16" s="160">
        <f t="shared" si="11"/>
        <v>2.5924583031182013E-2</v>
      </c>
      <c r="Y16" s="179">
        <f t="shared" si="11"/>
        <v>0.2175489485134155</v>
      </c>
      <c r="Z16" s="7"/>
      <c r="AA16" s="144">
        <f t="shared" ref="AA16" si="12">O16</f>
        <v>3.1478102189781018E-2</v>
      </c>
      <c r="AB16" s="135">
        <f t="shared" ref="AB16" si="13">P16</f>
        <v>6.5237226277372218E-2</v>
      </c>
      <c r="AC16" s="145">
        <f t="shared" ref="AC16" si="14">Q16</f>
        <v>0.15328467153284667</v>
      </c>
      <c r="AE16" s="144">
        <f t="shared" ref="AE16:AG19" si="15">S16</f>
        <v>1.4768493879723258E-2</v>
      </c>
      <c r="AF16" s="135">
        <f t="shared" si="15"/>
        <v>2.9270888770622679E-2</v>
      </c>
      <c r="AG16" s="145">
        <f t="shared" si="15"/>
        <v>0.20596061734965398</v>
      </c>
      <c r="AH16" s="5"/>
      <c r="AI16" s="144">
        <f t="shared" ref="AI16:AK19" si="16">W16</f>
        <v>6.5264684554024611E-3</v>
      </c>
      <c r="AJ16" s="135">
        <f t="shared" si="16"/>
        <v>2.5924583031182013E-2</v>
      </c>
      <c r="AK16" s="145">
        <f t="shared" si="16"/>
        <v>0.2175489485134155</v>
      </c>
    </row>
    <row r="17" spans="1:37">
      <c r="A17" s="225">
        <v>0.2</v>
      </c>
      <c r="B17" s="7">
        <v>0.1</v>
      </c>
      <c r="C17" s="214">
        <f>C$8*($A15-$B17)</f>
        <v>1.259124087591241E-2</v>
      </c>
      <c r="D17" s="159">
        <f>D$8*($A15-$B17)</f>
        <v>2.6094890510948904E-2</v>
      </c>
      <c r="E17" s="215">
        <f>E$8*($A15-$B17)</f>
        <v>6.1313868613138693E-2</v>
      </c>
      <c r="F17" s="7"/>
      <c r="G17" s="214">
        <f>G$8*($A15-$B17)</f>
        <v>5.9073975518893033E-3</v>
      </c>
      <c r="H17" s="159">
        <f>H$8*($A15-$B17)</f>
        <v>1.1708355508249071E-2</v>
      </c>
      <c r="I17" s="215">
        <f>I$8*($A15-$B17)</f>
        <v>8.2384246939861641E-2</v>
      </c>
      <c r="J17" s="67"/>
      <c r="K17" s="214">
        <f>K$8*($A15-$B17)</f>
        <v>2.6105873821609862E-3</v>
      </c>
      <c r="L17" s="159">
        <f>L$8*($A15-$B17)</f>
        <v>1.0369833212472809E-2</v>
      </c>
      <c r="M17" s="215">
        <f>M$8*($A15-$B17)</f>
        <v>8.7019579405366212E-2</v>
      </c>
      <c r="N17" s="160"/>
      <c r="O17" s="178">
        <f t="shared" si="9"/>
        <v>6.295620437956205E-2</v>
      </c>
      <c r="P17" s="160">
        <f t="shared" si="9"/>
        <v>0.13047445255474452</v>
      </c>
      <c r="Q17" s="179">
        <f t="shared" si="9"/>
        <v>0.30656934306569344</v>
      </c>
      <c r="R17" s="160"/>
      <c r="S17" s="178">
        <f t="shared" si="10"/>
        <v>2.9536987759446517E-2</v>
      </c>
      <c r="T17" s="160">
        <f t="shared" si="10"/>
        <v>5.8541777541245357E-2</v>
      </c>
      <c r="U17" s="179">
        <f t="shared" si="10"/>
        <v>0.41192123469930819</v>
      </c>
      <c r="V17" s="160"/>
      <c r="W17" s="178">
        <f t="shared" si="11"/>
        <v>1.3052936910804931E-2</v>
      </c>
      <c r="X17" s="160">
        <f t="shared" si="11"/>
        <v>5.184916606236404E-2</v>
      </c>
      <c r="Y17" s="179">
        <f t="shared" si="11"/>
        <v>0.43509789702683105</v>
      </c>
      <c r="Z17" s="7"/>
      <c r="AA17" s="144">
        <f t="shared" ref="AA17:AA19" si="17">O17</f>
        <v>6.295620437956205E-2</v>
      </c>
      <c r="AB17" s="135">
        <f t="shared" ref="AB17:AB19" si="18">P17</f>
        <v>0.13047445255474452</v>
      </c>
      <c r="AC17" s="145">
        <f t="shared" ref="AC17:AC19" si="19">Q17</f>
        <v>0.30656934306569344</v>
      </c>
      <c r="AE17" s="144">
        <f t="shared" si="15"/>
        <v>2.9536987759446517E-2</v>
      </c>
      <c r="AF17" s="135">
        <f t="shared" si="15"/>
        <v>5.8541777541245357E-2</v>
      </c>
      <c r="AG17" s="145">
        <f t="shared" si="15"/>
        <v>0.41192123469930819</v>
      </c>
      <c r="AH17" s="5"/>
      <c r="AI17" s="144">
        <f t="shared" si="16"/>
        <v>1.3052936910804931E-2</v>
      </c>
      <c r="AJ17" s="135">
        <f t="shared" si="16"/>
        <v>5.184916606236404E-2</v>
      </c>
      <c r="AK17" s="145">
        <f t="shared" si="16"/>
        <v>0.43509789702683105</v>
      </c>
    </row>
    <row r="18" spans="1:37">
      <c r="A18" s="225">
        <v>0.2</v>
      </c>
      <c r="B18" s="7">
        <v>0.15</v>
      </c>
      <c r="C18" s="214">
        <f>C$8*($A15-$B18)</f>
        <v>6.2956204379562069E-3</v>
      </c>
      <c r="D18" s="159">
        <f>D$8*($A15-$B18)</f>
        <v>1.3047445255474457E-2</v>
      </c>
      <c r="E18" s="215">
        <f>E$8*($A15-$B18)</f>
        <v>3.0656934306569354E-2</v>
      </c>
      <c r="F18" s="7"/>
      <c r="G18" s="214">
        <f>G$8*($A15-$B18)</f>
        <v>2.9536987759446521E-3</v>
      </c>
      <c r="H18" s="159">
        <f>H$8*($A15-$B18)</f>
        <v>5.8541777541245366E-3</v>
      </c>
      <c r="I18" s="215">
        <f>I$8*($A15-$B18)</f>
        <v>4.1192123469930834E-2</v>
      </c>
      <c r="J18" s="67"/>
      <c r="K18" s="214">
        <f>K$8*($A15-$B18)</f>
        <v>1.3052936910804935E-3</v>
      </c>
      <c r="L18" s="159">
        <f>L$8*($A15-$B18)</f>
        <v>5.184916606236406E-3</v>
      </c>
      <c r="M18" s="215">
        <f>M$8*($A15-$B18)</f>
        <v>4.350978970268312E-2</v>
      </c>
      <c r="N18" s="160"/>
      <c r="O18" s="178">
        <f t="shared" si="9"/>
        <v>9.4434306569343054E-2</v>
      </c>
      <c r="P18" s="160">
        <f t="shared" si="9"/>
        <v>0.19571167883211674</v>
      </c>
      <c r="Q18" s="179">
        <f t="shared" si="9"/>
        <v>0.45985401459854014</v>
      </c>
      <c r="R18" s="160"/>
      <c r="S18" s="178">
        <f t="shared" si="10"/>
        <v>4.4305481639169773E-2</v>
      </c>
      <c r="T18" s="160">
        <f t="shared" si="10"/>
        <v>8.7812666311868029E-2</v>
      </c>
      <c r="U18" s="179">
        <f t="shared" si="10"/>
        <v>0.61788185204896218</v>
      </c>
      <c r="V18" s="160"/>
      <c r="W18" s="178">
        <f t="shared" si="11"/>
        <v>1.9579405366207392E-2</v>
      </c>
      <c r="X18" s="160">
        <f t="shared" si="11"/>
        <v>7.7773749093546049E-2</v>
      </c>
      <c r="Y18" s="179">
        <f t="shared" si="11"/>
        <v>0.65264684554024643</v>
      </c>
      <c r="Z18" s="7"/>
      <c r="AA18" s="144">
        <f t="shared" si="17"/>
        <v>9.4434306569343054E-2</v>
      </c>
      <c r="AB18" s="135">
        <f t="shared" si="18"/>
        <v>0.19571167883211674</v>
      </c>
      <c r="AC18" s="145">
        <f t="shared" si="19"/>
        <v>0.45985401459854014</v>
      </c>
      <c r="AE18" s="144">
        <f t="shared" si="15"/>
        <v>4.4305481639169773E-2</v>
      </c>
      <c r="AF18" s="135">
        <f t="shared" si="15"/>
        <v>8.7812666311868029E-2</v>
      </c>
      <c r="AG18" s="145">
        <f t="shared" si="15"/>
        <v>0.61788185204896218</v>
      </c>
      <c r="AH18" s="5"/>
      <c r="AI18" s="144">
        <f t="shared" si="16"/>
        <v>1.9579405366207392E-2</v>
      </c>
      <c r="AJ18" s="135">
        <f t="shared" si="16"/>
        <v>7.7773749093546049E-2</v>
      </c>
      <c r="AK18" s="145">
        <f t="shared" si="16"/>
        <v>0.65264684554024643</v>
      </c>
    </row>
    <row r="19" spans="1:37" ht="15" thickBot="1">
      <c r="A19" s="225">
        <v>0.2</v>
      </c>
      <c r="B19" s="128" t="s">
        <v>7</v>
      </c>
      <c r="C19" s="216" t="str">
        <f>IF($B19="N/A","---",C$8*($A15-$B19))</f>
        <v>---</v>
      </c>
      <c r="D19" s="161" t="str">
        <f>IF($B19="N/A","---",D$8*($A15-$B19))</f>
        <v>---</v>
      </c>
      <c r="E19" s="217" t="str">
        <f>IF($B19="N/A","---",E$8*($A15-$B19))</f>
        <v>---</v>
      </c>
      <c r="F19" s="162"/>
      <c r="G19" s="216" t="str">
        <f>IF($B19="N/A","---",G$8*($A15-$B19))</f>
        <v>---</v>
      </c>
      <c r="H19" s="161" t="str">
        <f>IF($B19="N/A","---",H$8*($A15-$B19))</f>
        <v>---</v>
      </c>
      <c r="I19" s="217" t="str">
        <f>IF($B19="N/A","---",I$8*($A15-$B19))</f>
        <v>---</v>
      </c>
      <c r="J19" s="163"/>
      <c r="K19" s="216" t="str">
        <f>IF($B19="N/A","---",K$8*($A15-$B19))</f>
        <v>---</v>
      </c>
      <c r="L19" s="161" t="str">
        <f>IF($B19="N/A","---",L$8*($A15-$B19))</f>
        <v>---</v>
      </c>
      <c r="M19" s="217" t="str">
        <f>IF($B19="N/A","---",M$8*($A15-$B19))</f>
        <v>---</v>
      </c>
      <c r="N19" s="164"/>
      <c r="O19" s="180" t="str">
        <f>IF($B19="N/A","---",(C$15-C19)/$A$15)</f>
        <v>---</v>
      </c>
      <c r="P19" s="164" t="str">
        <f>IF($B19="N/A","---",(D$15-D19)/$A$15)</f>
        <v>---</v>
      </c>
      <c r="Q19" s="181" t="str">
        <f>IF($B19="N/A","---",(E$15-E19)/$A$15)</f>
        <v>---</v>
      </c>
      <c r="R19" s="164"/>
      <c r="S19" s="180" t="str">
        <f>IF($B19="N/A","---",(G$15-G19)/$A$15)</f>
        <v>---</v>
      </c>
      <c r="T19" s="164" t="str">
        <f>IF($B19="N/A","---",(H$15-H19)/$A$15)</f>
        <v>---</v>
      </c>
      <c r="U19" s="181" t="str">
        <f>IF($B19="N/A","---",(I$15-I19)/$A$15)</f>
        <v>---</v>
      </c>
      <c r="V19" s="164"/>
      <c r="W19" s="180" t="str">
        <f>IF($B19="N/A","---",(K$15-K19)/$A$15)</f>
        <v>---</v>
      </c>
      <c r="X19" s="164" t="str">
        <f>IF($B19="N/A","---",(L$15-L19)/$A$15)</f>
        <v>---</v>
      </c>
      <c r="Y19" s="181" t="str">
        <f>IF($B19="N/A","---",(M$15-M19)/$A$15)</f>
        <v>---</v>
      </c>
      <c r="Z19" s="128"/>
      <c r="AA19" s="146" t="str">
        <f t="shared" si="17"/>
        <v>---</v>
      </c>
      <c r="AB19" s="147" t="str">
        <f t="shared" si="18"/>
        <v>---</v>
      </c>
      <c r="AC19" s="148" t="str">
        <f t="shared" si="19"/>
        <v>---</v>
      </c>
      <c r="AE19" s="146" t="str">
        <f t="shared" si="15"/>
        <v>---</v>
      </c>
      <c r="AF19" s="147" t="str">
        <f t="shared" si="15"/>
        <v>---</v>
      </c>
      <c r="AG19" s="148" t="str">
        <f t="shared" si="15"/>
        <v>---</v>
      </c>
      <c r="AH19" s="5"/>
      <c r="AI19" s="146" t="str">
        <f t="shared" si="16"/>
        <v>---</v>
      </c>
      <c r="AJ19" s="147" t="str">
        <f t="shared" si="16"/>
        <v>---</v>
      </c>
      <c r="AK19" s="148" t="str">
        <f t="shared" si="16"/>
        <v>---</v>
      </c>
    </row>
    <row r="20" spans="1:37">
      <c r="A20" s="218">
        <v>0.3</v>
      </c>
      <c r="B20" s="123">
        <v>0</v>
      </c>
      <c r="C20" s="212">
        <f>C$8*$A20</f>
        <v>3.7773722627737226E-2</v>
      </c>
      <c r="D20" s="153">
        <f>D$8*$A20</f>
        <v>7.8284671532846711E-2</v>
      </c>
      <c r="E20" s="213">
        <f>E$8*$A20</f>
        <v>0.18394160583941607</v>
      </c>
      <c r="F20" s="124"/>
      <c r="G20" s="212">
        <f>G$8*$A20</f>
        <v>1.7722192655667907E-2</v>
      </c>
      <c r="H20" s="153">
        <f>H$8*$A20</f>
        <v>3.5125066524747207E-2</v>
      </c>
      <c r="I20" s="213">
        <f>I$8*$A20</f>
        <v>0.24715274081958491</v>
      </c>
      <c r="J20" s="155"/>
      <c r="K20" s="212">
        <f>K$8*$A20</f>
        <v>7.8317621464829585E-3</v>
      </c>
      <c r="L20" s="153">
        <f>L$8*$A20</f>
        <v>3.1109499637418422E-2</v>
      </c>
      <c r="M20" s="213">
        <f>M$8*$A20</f>
        <v>0.2610587382160986</v>
      </c>
      <c r="N20" s="156"/>
      <c r="O20" s="176"/>
      <c r="P20" s="156"/>
      <c r="Q20" s="177"/>
      <c r="R20" s="156"/>
      <c r="S20" s="176"/>
      <c r="T20" s="156"/>
      <c r="U20" s="177"/>
      <c r="V20" s="156"/>
      <c r="W20" s="176"/>
      <c r="X20" s="156"/>
      <c r="Y20" s="177"/>
      <c r="Z20" s="124"/>
      <c r="AA20" s="167"/>
      <c r="AB20" s="168"/>
      <c r="AC20" s="169"/>
      <c r="AE20" s="167"/>
      <c r="AF20" s="168"/>
      <c r="AG20" s="169"/>
      <c r="AH20" s="5"/>
      <c r="AI20" s="167"/>
      <c r="AJ20" s="168"/>
      <c r="AK20" s="169"/>
    </row>
    <row r="21" spans="1:37">
      <c r="A21" s="219">
        <v>0.3</v>
      </c>
      <c r="B21" s="7">
        <v>0.05</v>
      </c>
      <c r="C21" s="214">
        <f>C$8*($A20-$B21)</f>
        <v>3.1478102189781025E-2</v>
      </c>
      <c r="D21" s="159">
        <f>D$8*($A20-$B21)</f>
        <v>6.5237226277372259E-2</v>
      </c>
      <c r="E21" s="215">
        <f>E$8*($A20-$B21)</f>
        <v>0.15328467153284672</v>
      </c>
      <c r="F21" s="8"/>
      <c r="G21" s="214">
        <f>G$8*($A20-$B21)</f>
        <v>1.4768493879723257E-2</v>
      </c>
      <c r="H21" s="159">
        <f>H$8*($A20-$B21)</f>
        <v>2.9270888770622675E-2</v>
      </c>
      <c r="I21" s="215">
        <f>I$8*($A20-$B21)</f>
        <v>0.2059606173496541</v>
      </c>
      <c r="J21" s="67"/>
      <c r="K21" s="214">
        <f>K$8*($A20-$B21)</f>
        <v>6.5264684554024654E-3</v>
      </c>
      <c r="L21" s="159">
        <f>L$8*($A20-$B21)</f>
        <v>2.592458303118202E-2</v>
      </c>
      <c r="M21" s="215">
        <f>M$8*($A20-$B21)</f>
        <v>0.21754894851341552</v>
      </c>
      <c r="N21" s="160"/>
      <c r="O21" s="178">
        <f t="shared" ref="O21:Q24" si="20">(C$20-C21)/$A$20</f>
        <v>2.0985401459854003E-2</v>
      </c>
      <c r="P21" s="160">
        <f t="shared" si="20"/>
        <v>4.3491484184914844E-2</v>
      </c>
      <c r="Q21" s="179">
        <f t="shared" si="20"/>
        <v>0.10218978102189784</v>
      </c>
      <c r="R21" s="160"/>
      <c r="S21" s="178">
        <f t="shared" ref="S21:U24" si="21">(G$20-G21)/$A$20</f>
        <v>9.8456625864821665E-3</v>
      </c>
      <c r="T21" s="160">
        <f t="shared" si="21"/>
        <v>1.9513925847081774E-2</v>
      </c>
      <c r="U21" s="179">
        <f t="shared" si="21"/>
        <v>0.13730707823310273</v>
      </c>
      <c r="V21" s="160"/>
      <c r="W21" s="178">
        <f t="shared" ref="W21:Y24" si="22">(K$20-K21)/$A$20</f>
        <v>4.3509789702683103E-3</v>
      </c>
      <c r="X21" s="160">
        <f t="shared" si="22"/>
        <v>1.7283055354121342E-2</v>
      </c>
      <c r="Y21" s="179">
        <f t="shared" si="22"/>
        <v>0.14503263234227692</v>
      </c>
      <c r="Z21" s="8"/>
      <c r="AA21" s="144">
        <f t="shared" ref="AA21:AA24" si="23">O21</f>
        <v>2.0985401459854003E-2</v>
      </c>
      <c r="AB21" s="135">
        <f t="shared" ref="AB21:AB24" si="24">P21</f>
        <v>4.3491484184914844E-2</v>
      </c>
      <c r="AC21" s="145">
        <f t="shared" ref="AC21:AC24" si="25">Q21</f>
        <v>0.10218978102189784</v>
      </c>
      <c r="AE21" s="144">
        <f t="shared" ref="AE21:AG24" si="26">S21</f>
        <v>9.8456625864821665E-3</v>
      </c>
      <c r="AF21" s="135">
        <f t="shared" si="26"/>
        <v>1.9513925847081774E-2</v>
      </c>
      <c r="AG21" s="145">
        <f t="shared" si="26"/>
        <v>0.13730707823310273</v>
      </c>
      <c r="AH21" s="5"/>
      <c r="AI21" s="144">
        <f t="shared" ref="AI21:AK24" si="27">W21</f>
        <v>4.3509789702683103E-3</v>
      </c>
      <c r="AJ21" s="135">
        <f t="shared" si="27"/>
        <v>1.7283055354121342E-2</v>
      </c>
      <c r="AK21" s="145">
        <f t="shared" si="27"/>
        <v>0.14503263234227692</v>
      </c>
    </row>
    <row r="22" spans="1:37">
      <c r="A22" s="219">
        <v>0.3</v>
      </c>
      <c r="B22" s="7">
        <v>0.1</v>
      </c>
      <c r="C22" s="214">
        <f>C$8*($A20-$B22)</f>
        <v>2.5182481751824817E-2</v>
      </c>
      <c r="D22" s="159">
        <f>D$8*($A20-$B22)</f>
        <v>5.2189781021897801E-2</v>
      </c>
      <c r="E22" s="215">
        <f>E$8*($A20-$B22)</f>
        <v>0.12262773722627737</v>
      </c>
      <c r="F22" s="8"/>
      <c r="G22" s="214">
        <f>G$8*($A20-$B22)</f>
        <v>1.1814795103778605E-2</v>
      </c>
      <c r="H22" s="159">
        <f>H$8*($A20-$B22)</f>
        <v>2.3416711016498139E-2</v>
      </c>
      <c r="I22" s="215">
        <f>I$8*($A20-$B22)</f>
        <v>0.16476849387972325</v>
      </c>
      <c r="J22" s="67"/>
      <c r="K22" s="214">
        <f>K$8*($A20-$B22)</f>
        <v>5.2211747643219715E-3</v>
      </c>
      <c r="L22" s="159">
        <f>L$8*($A20-$B22)</f>
        <v>2.0739666424945614E-2</v>
      </c>
      <c r="M22" s="215">
        <f>M$8*($A20-$B22)</f>
        <v>0.1740391588107324</v>
      </c>
      <c r="N22" s="160"/>
      <c r="O22" s="178">
        <f t="shared" si="20"/>
        <v>4.1970802919708033E-2</v>
      </c>
      <c r="P22" s="160">
        <f t="shared" si="20"/>
        <v>8.6982968369829702E-2</v>
      </c>
      <c r="Q22" s="179">
        <f t="shared" si="20"/>
        <v>0.20437956204379568</v>
      </c>
      <c r="R22" s="160"/>
      <c r="S22" s="178">
        <f t="shared" si="21"/>
        <v>1.969132517296434E-2</v>
      </c>
      <c r="T22" s="160">
        <f t="shared" si="21"/>
        <v>3.9027851694163562E-2</v>
      </c>
      <c r="U22" s="179">
        <f t="shared" si="21"/>
        <v>0.27461415646620552</v>
      </c>
      <c r="V22" s="160"/>
      <c r="W22" s="178">
        <f t="shared" si="22"/>
        <v>8.701957940536624E-3</v>
      </c>
      <c r="X22" s="160">
        <f t="shared" si="22"/>
        <v>3.4566110708242698E-2</v>
      </c>
      <c r="Y22" s="179">
        <f t="shared" si="22"/>
        <v>0.29006526468455401</v>
      </c>
      <c r="Z22" s="8"/>
      <c r="AA22" s="144">
        <f t="shared" si="23"/>
        <v>4.1970802919708033E-2</v>
      </c>
      <c r="AB22" s="135">
        <f t="shared" si="24"/>
        <v>8.6982968369829702E-2</v>
      </c>
      <c r="AC22" s="145">
        <f t="shared" si="25"/>
        <v>0.20437956204379568</v>
      </c>
      <c r="AE22" s="144">
        <f t="shared" si="26"/>
        <v>1.969132517296434E-2</v>
      </c>
      <c r="AF22" s="135">
        <f t="shared" si="26"/>
        <v>3.9027851694163562E-2</v>
      </c>
      <c r="AG22" s="145">
        <f t="shared" si="26"/>
        <v>0.27461415646620552</v>
      </c>
      <c r="AH22" s="5"/>
      <c r="AI22" s="144">
        <f t="shared" si="27"/>
        <v>8.701957940536624E-3</v>
      </c>
      <c r="AJ22" s="135">
        <f t="shared" si="27"/>
        <v>3.4566110708242698E-2</v>
      </c>
      <c r="AK22" s="145">
        <f t="shared" si="27"/>
        <v>0.29006526468455401</v>
      </c>
    </row>
    <row r="23" spans="1:37">
      <c r="A23" s="219">
        <v>0.3</v>
      </c>
      <c r="B23" s="7">
        <v>0.15</v>
      </c>
      <c r="C23" s="214">
        <f>C$8*($A20-$B23)</f>
        <v>1.8886861313868613E-2</v>
      </c>
      <c r="D23" s="159">
        <f>D$8*($A20-$B23)</f>
        <v>3.9142335766423356E-2</v>
      </c>
      <c r="E23" s="215">
        <f>E$8*($A20-$B23)</f>
        <v>9.1970802919708036E-2</v>
      </c>
      <c r="F23" s="8"/>
      <c r="G23" s="214">
        <f>G$8*($A20-$B23)</f>
        <v>8.8610963278339533E-3</v>
      </c>
      <c r="H23" s="159">
        <f>H$8*($A20-$B23)</f>
        <v>1.7562533262373604E-2</v>
      </c>
      <c r="I23" s="215">
        <f>I$8*($A20-$B23)</f>
        <v>0.12357637040979245</v>
      </c>
      <c r="J23" s="67"/>
      <c r="K23" s="214">
        <f>K$8*($A20-$B23)</f>
        <v>3.9158810732414793E-3</v>
      </c>
      <c r="L23" s="159">
        <f>L$8*($A20-$B23)</f>
        <v>1.5554749818709211E-2</v>
      </c>
      <c r="M23" s="215">
        <f>M$8*($A20-$B23)</f>
        <v>0.1305293691080493</v>
      </c>
      <c r="N23" s="160"/>
      <c r="O23" s="178">
        <f t="shared" si="20"/>
        <v>6.295620437956205E-2</v>
      </c>
      <c r="P23" s="160">
        <f t="shared" si="20"/>
        <v>0.13047445255474452</v>
      </c>
      <c r="Q23" s="179">
        <f t="shared" si="20"/>
        <v>0.30656934306569344</v>
      </c>
      <c r="R23" s="160"/>
      <c r="S23" s="178">
        <f t="shared" si="21"/>
        <v>2.9536987759446513E-2</v>
      </c>
      <c r="T23" s="160">
        <f t="shared" si="21"/>
        <v>5.854177754124535E-2</v>
      </c>
      <c r="U23" s="179">
        <f t="shared" si="21"/>
        <v>0.41192123469930819</v>
      </c>
      <c r="V23" s="160"/>
      <c r="W23" s="178">
        <f t="shared" si="22"/>
        <v>1.3052936910804931E-2</v>
      </c>
      <c r="X23" s="160">
        <f t="shared" si="22"/>
        <v>5.184916606236404E-2</v>
      </c>
      <c r="Y23" s="179">
        <f t="shared" si="22"/>
        <v>0.43509789702683099</v>
      </c>
      <c r="Z23" s="8"/>
      <c r="AA23" s="144">
        <f t="shared" si="23"/>
        <v>6.295620437956205E-2</v>
      </c>
      <c r="AB23" s="135">
        <f t="shared" si="24"/>
        <v>0.13047445255474452</v>
      </c>
      <c r="AC23" s="145">
        <f t="shared" si="25"/>
        <v>0.30656934306569344</v>
      </c>
      <c r="AE23" s="144">
        <f t="shared" si="26"/>
        <v>2.9536987759446513E-2</v>
      </c>
      <c r="AF23" s="135">
        <f t="shared" si="26"/>
        <v>5.854177754124535E-2</v>
      </c>
      <c r="AG23" s="145">
        <f t="shared" si="26"/>
        <v>0.41192123469930819</v>
      </c>
      <c r="AH23" s="5"/>
      <c r="AI23" s="144">
        <f t="shared" si="27"/>
        <v>1.3052936910804931E-2</v>
      </c>
      <c r="AJ23" s="135">
        <f t="shared" si="27"/>
        <v>5.184916606236404E-2</v>
      </c>
      <c r="AK23" s="145">
        <f t="shared" si="27"/>
        <v>0.43509789702683099</v>
      </c>
    </row>
    <row r="24" spans="1:37" ht="15" thickBot="1">
      <c r="A24" s="219">
        <v>0.3</v>
      </c>
      <c r="B24" s="128">
        <v>0.2</v>
      </c>
      <c r="C24" s="216">
        <f>C$8*($A20-$B24)</f>
        <v>1.2591240875912407E-2</v>
      </c>
      <c r="D24" s="161">
        <f>D$8*($A20-$B24)</f>
        <v>2.6094890510948897E-2</v>
      </c>
      <c r="E24" s="217">
        <f>E$8*($A20-$B24)</f>
        <v>6.1313868613138672E-2</v>
      </c>
      <c r="F24" s="110"/>
      <c r="G24" s="216">
        <f>G$8*($A20-$B24)</f>
        <v>5.9073975518893016E-3</v>
      </c>
      <c r="H24" s="161">
        <f>H$8*($A20-$B24)</f>
        <v>1.1708355508249068E-2</v>
      </c>
      <c r="I24" s="217">
        <f>I$8*($A20-$B24)</f>
        <v>8.2384246939861613E-2</v>
      </c>
      <c r="J24" s="163"/>
      <c r="K24" s="216">
        <f>K$8*($A20-$B24)</f>
        <v>2.6105873821609857E-3</v>
      </c>
      <c r="L24" s="161">
        <f>L$8*($A20-$B24)</f>
        <v>1.0369833212472805E-2</v>
      </c>
      <c r="M24" s="217">
        <f>M$8*($A20-$B24)</f>
        <v>8.7019579405366185E-2</v>
      </c>
      <c r="N24" s="164"/>
      <c r="O24" s="180">
        <f t="shared" si="20"/>
        <v>8.3941605839416067E-2</v>
      </c>
      <c r="P24" s="164">
        <f t="shared" si="20"/>
        <v>0.17396593673965938</v>
      </c>
      <c r="Q24" s="181">
        <f t="shared" si="20"/>
        <v>0.40875912408759135</v>
      </c>
      <c r="R24" s="164"/>
      <c r="S24" s="180">
        <f t="shared" si="21"/>
        <v>3.9382650345928687E-2</v>
      </c>
      <c r="T24" s="164">
        <f t="shared" si="21"/>
        <v>7.8055703388327138E-2</v>
      </c>
      <c r="U24" s="181">
        <f t="shared" si="21"/>
        <v>0.54922831293241103</v>
      </c>
      <c r="V24" s="164"/>
      <c r="W24" s="180">
        <f t="shared" si="22"/>
        <v>1.7403915881073241E-2</v>
      </c>
      <c r="X24" s="164">
        <f t="shared" si="22"/>
        <v>6.9132221416485395E-2</v>
      </c>
      <c r="Y24" s="181">
        <f t="shared" si="22"/>
        <v>0.58013052936910803</v>
      </c>
      <c r="Z24" s="110"/>
      <c r="AA24" s="146">
        <f t="shared" si="23"/>
        <v>8.3941605839416067E-2</v>
      </c>
      <c r="AB24" s="147">
        <f t="shared" si="24"/>
        <v>0.17396593673965938</v>
      </c>
      <c r="AC24" s="148">
        <f t="shared" si="25"/>
        <v>0.40875912408759135</v>
      </c>
      <c r="AE24" s="146">
        <f t="shared" si="26"/>
        <v>3.9382650345928687E-2</v>
      </c>
      <c r="AF24" s="147">
        <f t="shared" si="26"/>
        <v>7.8055703388327138E-2</v>
      </c>
      <c r="AG24" s="148">
        <f t="shared" si="26"/>
        <v>0.54922831293241103</v>
      </c>
      <c r="AH24" s="5"/>
      <c r="AI24" s="146">
        <f t="shared" si="27"/>
        <v>1.7403915881073241E-2</v>
      </c>
      <c r="AJ24" s="147">
        <f t="shared" si="27"/>
        <v>6.9132221416485395E-2</v>
      </c>
      <c r="AK24" s="148">
        <f t="shared" si="27"/>
        <v>0.58013052936910803</v>
      </c>
    </row>
    <row r="25" spans="1:37">
      <c r="A25" s="218">
        <v>0.4</v>
      </c>
      <c r="B25" s="123">
        <v>0</v>
      </c>
      <c r="C25" s="212">
        <f>C$8*$A25</f>
        <v>5.0364963503649642E-2</v>
      </c>
      <c r="D25" s="153">
        <f>D$8*$A25</f>
        <v>0.10437956204379562</v>
      </c>
      <c r="E25" s="213">
        <f>E$8*$A25</f>
        <v>0.24525547445255477</v>
      </c>
      <c r="F25" s="124"/>
      <c r="G25" s="212">
        <f>G$8*$A25</f>
        <v>2.3629590207557213E-2</v>
      </c>
      <c r="H25" s="153">
        <f>H$8*$A25</f>
        <v>4.6833422032996286E-2</v>
      </c>
      <c r="I25" s="213">
        <f>I$8*$A25</f>
        <v>0.32953698775944656</v>
      </c>
      <c r="J25" s="155"/>
      <c r="K25" s="212">
        <f>K$8*$A25</f>
        <v>1.0442349528643945E-2</v>
      </c>
      <c r="L25" s="153">
        <f>L$8*$A25</f>
        <v>4.1479332849891234E-2</v>
      </c>
      <c r="M25" s="213">
        <f>M$8*$A25</f>
        <v>0.34807831762146485</v>
      </c>
      <c r="N25" s="156"/>
      <c r="O25" s="176"/>
      <c r="P25" s="156"/>
      <c r="Q25" s="177"/>
      <c r="R25" s="156"/>
      <c r="S25" s="176"/>
      <c r="T25" s="156"/>
      <c r="U25" s="177"/>
      <c r="V25" s="156"/>
      <c r="W25" s="176"/>
      <c r="X25" s="156"/>
      <c r="Y25" s="177"/>
      <c r="Z25" s="124"/>
      <c r="AA25" s="167"/>
      <c r="AB25" s="168"/>
      <c r="AC25" s="169"/>
      <c r="AE25" s="167"/>
      <c r="AF25" s="168"/>
      <c r="AG25" s="169"/>
      <c r="AH25" s="5"/>
      <c r="AI25" s="167"/>
      <c r="AJ25" s="168"/>
      <c r="AK25" s="169"/>
    </row>
    <row r="26" spans="1:37">
      <c r="A26" s="219">
        <v>0.4</v>
      </c>
      <c r="B26" s="7">
        <v>0.05</v>
      </c>
      <c r="C26" s="214">
        <f>C$8*($A25-$B26)</f>
        <v>4.4069343065693441E-2</v>
      </c>
      <c r="D26" s="159">
        <f>D$8*($A25-$B26)</f>
        <v>9.1332116788321177E-2</v>
      </c>
      <c r="E26" s="215">
        <f>E$8*($A25-$B26)</f>
        <v>0.21459854014598542</v>
      </c>
      <c r="F26" s="8"/>
      <c r="G26" s="214">
        <f>G$8*($A25-$B26)</f>
        <v>2.067589143161256E-2</v>
      </c>
      <c r="H26" s="159">
        <f>H$8*($A25-$B26)</f>
        <v>4.097924427887175E-2</v>
      </c>
      <c r="I26" s="215">
        <f>I$8*($A25-$B26)</f>
        <v>0.28834486428951578</v>
      </c>
      <c r="J26" s="67"/>
      <c r="K26" s="214">
        <f>K$8*($A25-$B26)</f>
        <v>9.1370558375634525E-3</v>
      </c>
      <c r="L26" s="159">
        <f>L$8*($A25-$B26)</f>
        <v>3.6294416243654828E-2</v>
      </c>
      <c r="M26" s="215">
        <f>M$8*($A25-$B26)</f>
        <v>0.30456852791878175</v>
      </c>
      <c r="N26" s="160"/>
      <c r="O26" s="178">
        <f t="shared" ref="O26:Q29" si="28">(C$25-C26)/$A$25</f>
        <v>1.5739051094890502E-2</v>
      </c>
      <c r="P26" s="160">
        <f t="shared" si="28"/>
        <v>3.2618613138686095E-2</v>
      </c>
      <c r="Q26" s="179">
        <f t="shared" si="28"/>
        <v>7.6642335766423375E-2</v>
      </c>
      <c r="R26" s="160"/>
      <c r="S26" s="178">
        <f t="shared" ref="S26:U29" si="29">(G$25-G26)/$A$25</f>
        <v>7.3842469398616335E-3</v>
      </c>
      <c r="T26" s="160">
        <f t="shared" si="29"/>
        <v>1.4635444385311339E-2</v>
      </c>
      <c r="U26" s="179">
        <f t="shared" si="29"/>
        <v>0.10298030867482696</v>
      </c>
      <c r="V26" s="160"/>
      <c r="W26" s="178">
        <f t="shared" ref="W26:Y29" si="30">(K$25-K26)/$A$25</f>
        <v>3.2632342277012305E-3</v>
      </c>
      <c r="X26" s="160">
        <f t="shared" si="30"/>
        <v>1.2962291515591015E-2</v>
      </c>
      <c r="Y26" s="179">
        <f t="shared" si="30"/>
        <v>0.10877447425670775</v>
      </c>
      <c r="Z26" s="8"/>
      <c r="AA26" s="144">
        <f t="shared" ref="AA26:AA29" si="31">O26</f>
        <v>1.5739051094890502E-2</v>
      </c>
      <c r="AB26" s="135">
        <f t="shared" ref="AB26:AB29" si="32">P26</f>
        <v>3.2618613138686095E-2</v>
      </c>
      <c r="AC26" s="145">
        <f t="shared" ref="AC26:AC29" si="33">Q26</f>
        <v>7.6642335766423375E-2</v>
      </c>
      <c r="AE26" s="144">
        <f t="shared" ref="AE26:AG29" si="34">S26</f>
        <v>7.3842469398616335E-3</v>
      </c>
      <c r="AF26" s="135">
        <f t="shared" si="34"/>
        <v>1.4635444385311339E-2</v>
      </c>
      <c r="AG26" s="145">
        <f t="shared" si="34"/>
        <v>0.10298030867482696</v>
      </c>
      <c r="AH26" s="5"/>
      <c r="AI26" s="144">
        <f t="shared" ref="AI26:AK29" si="35">W26</f>
        <v>3.2632342277012305E-3</v>
      </c>
      <c r="AJ26" s="135">
        <f t="shared" si="35"/>
        <v>1.2962291515591015E-2</v>
      </c>
      <c r="AK26" s="145">
        <f t="shared" si="35"/>
        <v>0.10877447425670775</v>
      </c>
    </row>
    <row r="27" spans="1:37">
      <c r="A27" s="219">
        <v>0.4</v>
      </c>
      <c r="B27" s="7">
        <v>0.1</v>
      </c>
      <c r="C27" s="214">
        <f>C$8*($A25-$B27)</f>
        <v>3.7773722627737233E-2</v>
      </c>
      <c r="D27" s="159">
        <f>D$8*($A25-$B27)</f>
        <v>7.8284671532846725E-2</v>
      </c>
      <c r="E27" s="215">
        <f>E$8*($A25-$B27)</f>
        <v>0.1839416058394161</v>
      </c>
      <c r="F27" s="8"/>
      <c r="G27" s="214">
        <f>G$8*($A25-$B27)</f>
        <v>1.772219265566791E-2</v>
      </c>
      <c r="H27" s="159">
        <f>H$8*($A25-$B27)</f>
        <v>3.5125066524747214E-2</v>
      </c>
      <c r="I27" s="215">
        <f>I$8*($A25-$B27)</f>
        <v>0.24715274081958497</v>
      </c>
      <c r="J27" s="67"/>
      <c r="K27" s="214">
        <f>K$8*($A25-$B27)</f>
        <v>7.8317621464829602E-3</v>
      </c>
      <c r="L27" s="159">
        <f>L$8*($A25-$B27)</f>
        <v>3.1109499637418429E-2</v>
      </c>
      <c r="M27" s="215">
        <f>M$8*($A25-$B27)</f>
        <v>0.26105873821609865</v>
      </c>
      <c r="N27" s="160"/>
      <c r="O27" s="178">
        <f t="shared" si="28"/>
        <v>3.1478102189781018E-2</v>
      </c>
      <c r="P27" s="160">
        <f t="shared" si="28"/>
        <v>6.5237226277372218E-2</v>
      </c>
      <c r="Q27" s="179">
        <f t="shared" si="28"/>
        <v>0.15328467153284667</v>
      </c>
      <c r="R27" s="160"/>
      <c r="S27" s="178">
        <f t="shared" si="29"/>
        <v>1.4768493879723258E-2</v>
      </c>
      <c r="T27" s="160">
        <f t="shared" si="29"/>
        <v>2.9270888770622679E-2</v>
      </c>
      <c r="U27" s="179">
        <f t="shared" si="29"/>
        <v>0.20596061734965398</v>
      </c>
      <c r="V27" s="160"/>
      <c r="W27" s="178">
        <f t="shared" si="30"/>
        <v>6.5264684554024611E-3</v>
      </c>
      <c r="X27" s="160">
        <f t="shared" si="30"/>
        <v>2.5924583031182013E-2</v>
      </c>
      <c r="Y27" s="179">
        <f t="shared" si="30"/>
        <v>0.2175489485134155</v>
      </c>
      <c r="Z27" s="8"/>
      <c r="AA27" s="144">
        <f t="shared" si="31"/>
        <v>3.1478102189781018E-2</v>
      </c>
      <c r="AB27" s="135">
        <f t="shared" si="32"/>
        <v>6.5237226277372218E-2</v>
      </c>
      <c r="AC27" s="145">
        <f t="shared" si="33"/>
        <v>0.15328467153284667</v>
      </c>
      <c r="AE27" s="144">
        <f t="shared" si="34"/>
        <v>1.4768493879723258E-2</v>
      </c>
      <c r="AF27" s="135">
        <f t="shared" si="34"/>
        <v>2.9270888770622679E-2</v>
      </c>
      <c r="AG27" s="145">
        <f t="shared" si="34"/>
        <v>0.20596061734965398</v>
      </c>
      <c r="AH27" s="5"/>
      <c r="AI27" s="144">
        <f t="shared" si="35"/>
        <v>6.5264684554024611E-3</v>
      </c>
      <c r="AJ27" s="135">
        <f t="shared" si="35"/>
        <v>2.5924583031182013E-2</v>
      </c>
      <c r="AK27" s="145">
        <f t="shared" si="35"/>
        <v>0.2175489485134155</v>
      </c>
    </row>
    <row r="28" spans="1:37">
      <c r="A28" s="219">
        <v>0.4</v>
      </c>
      <c r="B28" s="7">
        <v>0.15</v>
      </c>
      <c r="C28" s="214">
        <f>C$8*($A25-$B28)</f>
        <v>3.1478102189781025E-2</v>
      </c>
      <c r="D28" s="159">
        <f>D$8*($A25-$B28)</f>
        <v>6.5237226277372259E-2</v>
      </c>
      <c r="E28" s="215">
        <f>E$8*($A25-$B28)</f>
        <v>0.15328467153284672</v>
      </c>
      <c r="F28" s="8"/>
      <c r="G28" s="214">
        <f>G$8*($A25-$B28)</f>
        <v>1.4768493879723257E-2</v>
      </c>
      <c r="H28" s="159">
        <f>H$8*($A25-$B28)</f>
        <v>2.9270888770622675E-2</v>
      </c>
      <c r="I28" s="215">
        <f>I$8*($A25-$B28)</f>
        <v>0.2059606173496541</v>
      </c>
      <c r="J28" s="67"/>
      <c r="K28" s="214">
        <f>K$8*($A25-$B28)</f>
        <v>6.5264684554024654E-3</v>
      </c>
      <c r="L28" s="159">
        <f>L$8*($A25-$B28)</f>
        <v>2.592458303118202E-2</v>
      </c>
      <c r="M28" s="215">
        <f>M$8*($A25-$B28)</f>
        <v>0.21754894851341552</v>
      </c>
      <c r="N28" s="160"/>
      <c r="O28" s="178">
        <f t="shared" si="28"/>
        <v>4.7217153284671541E-2</v>
      </c>
      <c r="P28" s="160">
        <f t="shared" si="28"/>
        <v>9.7855839416058382E-2</v>
      </c>
      <c r="Q28" s="179">
        <f t="shared" si="28"/>
        <v>0.22992700729927013</v>
      </c>
      <c r="R28" s="160"/>
      <c r="S28" s="178">
        <f t="shared" si="29"/>
        <v>2.215274081958489E-2</v>
      </c>
      <c r="T28" s="160">
        <f t="shared" si="29"/>
        <v>4.3906333155934021E-2</v>
      </c>
      <c r="U28" s="179">
        <f t="shared" si="29"/>
        <v>0.30894092602448114</v>
      </c>
      <c r="V28" s="160"/>
      <c r="W28" s="178">
        <f t="shared" si="30"/>
        <v>9.7897026831036977E-3</v>
      </c>
      <c r="X28" s="160">
        <f t="shared" si="30"/>
        <v>3.8886874546773031E-2</v>
      </c>
      <c r="Y28" s="179">
        <f t="shared" si="30"/>
        <v>0.32632342277012327</v>
      </c>
      <c r="Z28" s="8"/>
      <c r="AA28" s="144">
        <f t="shared" si="31"/>
        <v>4.7217153284671541E-2</v>
      </c>
      <c r="AB28" s="135">
        <f t="shared" si="32"/>
        <v>9.7855839416058382E-2</v>
      </c>
      <c r="AC28" s="145">
        <f t="shared" si="33"/>
        <v>0.22992700729927013</v>
      </c>
      <c r="AE28" s="144">
        <f t="shared" si="34"/>
        <v>2.215274081958489E-2</v>
      </c>
      <c r="AF28" s="135">
        <f t="shared" si="34"/>
        <v>4.3906333155934021E-2</v>
      </c>
      <c r="AG28" s="145">
        <f t="shared" si="34"/>
        <v>0.30894092602448114</v>
      </c>
      <c r="AH28" s="5"/>
      <c r="AI28" s="144">
        <f t="shared" si="35"/>
        <v>9.7897026831036977E-3</v>
      </c>
      <c r="AJ28" s="135">
        <f t="shared" si="35"/>
        <v>3.8886874546773031E-2</v>
      </c>
      <c r="AK28" s="145">
        <f t="shared" si="35"/>
        <v>0.32632342277012327</v>
      </c>
    </row>
    <row r="29" spans="1:37" ht="15" thickBot="1">
      <c r="A29" s="219">
        <v>0.4</v>
      </c>
      <c r="B29" s="128">
        <v>0.2</v>
      </c>
      <c r="C29" s="216">
        <f>C$8*($A25-$B29)</f>
        <v>2.5182481751824821E-2</v>
      </c>
      <c r="D29" s="161">
        <f>D$8*($A25-$B29)</f>
        <v>5.2189781021897808E-2</v>
      </c>
      <c r="E29" s="217">
        <f>E$8*($A25-$B29)</f>
        <v>0.12262773722627739</v>
      </c>
      <c r="F29" s="110"/>
      <c r="G29" s="216">
        <f>G$8*($A25-$B29)</f>
        <v>1.1814795103778607E-2</v>
      </c>
      <c r="H29" s="161">
        <f>H$8*($A25-$B29)</f>
        <v>2.3416711016498143E-2</v>
      </c>
      <c r="I29" s="217">
        <f>I$8*($A25-$B29)</f>
        <v>0.16476849387972328</v>
      </c>
      <c r="J29" s="163"/>
      <c r="K29" s="216">
        <f>K$8*($A25-$B29)</f>
        <v>5.2211747643219723E-3</v>
      </c>
      <c r="L29" s="161">
        <f>L$8*($A25-$B29)</f>
        <v>2.0739666424945617E-2</v>
      </c>
      <c r="M29" s="217">
        <f>M$8*($A25-$B29)</f>
        <v>0.17403915881073242</v>
      </c>
      <c r="N29" s="164"/>
      <c r="O29" s="180">
        <f t="shared" si="28"/>
        <v>6.295620437956205E-2</v>
      </c>
      <c r="P29" s="164">
        <f t="shared" si="28"/>
        <v>0.13047445255474452</v>
      </c>
      <c r="Q29" s="181">
        <f t="shared" si="28"/>
        <v>0.30656934306569344</v>
      </c>
      <c r="R29" s="164"/>
      <c r="S29" s="180">
        <f t="shared" si="29"/>
        <v>2.9536987759446517E-2</v>
      </c>
      <c r="T29" s="164">
        <f t="shared" si="29"/>
        <v>5.8541777541245357E-2</v>
      </c>
      <c r="U29" s="181">
        <f t="shared" si="29"/>
        <v>0.41192123469930819</v>
      </c>
      <c r="V29" s="164"/>
      <c r="W29" s="180">
        <f t="shared" si="30"/>
        <v>1.3052936910804931E-2</v>
      </c>
      <c r="X29" s="164">
        <f t="shared" si="30"/>
        <v>5.184916606236404E-2</v>
      </c>
      <c r="Y29" s="181">
        <f t="shared" si="30"/>
        <v>0.43509789702683105</v>
      </c>
      <c r="Z29" s="110"/>
      <c r="AA29" s="146">
        <f t="shared" si="31"/>
        <v>6.295620437956205E-2</v>
      </c>
      <c r="AB29" s="147">
        <f t="shared" si="32"/>
        <v>0.13047445255474452</v>
      </c>
      <c r="AC29" s="148">
        <f t="shared" si="33"/>
        <v>0.30656934306569344</v>
      </c>
      <c r="AE29" s="146">
        <f t="shared" si="34"/>
        <v>2.9536987759446517E-2</v>
      </c>
      <c r="AF29" s="147">
        <f t="shared" si="34"/>
        <v>5.8541777541245357E-2</v>
      </c>
      <c r="AG29" s="148">
        <f t="shared" si="34"/>
        <v>0.41192123469930819</v>
      </c>
      <c r="AH29" s="5"/>
      <c r="AI29" s="146">
        <f t="shared" si="35"/>
        <v>1.3052936910804931E-2</v>
      </c>
      <c r="AJ29" s="147">
        <f t="shared" si="35"/>
        <v>5.184916606236404E-2</v>
      </c>
      <c r="AK29" s="148">
        <f t="shared" si="35"/>
        <v>0.43509789702683105</v>
      </c>
    </row>
    <row r="30" spans="1:37">
      <c r="A30" s="218">
        <v>0.5</v>
      </c>
      <c r="B30" s="123">
        <v>0</v>
      </c>
      <c r="C30" s="212">
        <f>C$8*$A30</f>
        <v>6.295620437956205E-2</v>
      </c>
      <c r="D30" s="153">
        <f>D$8*$A30</f>
        <v>0.13047445255474452</v>
      </c>
      <c r="E30" s="213">
        <f>E$8*$A30</f>
        <v>0.30656934306569344</v>
      </c>
      <c r="F30" s="124"/>
      <c r="G30" s="212">
        <f>G$8*$A30</f>
        <v>2.9536987759446513E-2</v>
      </c>
      <c r="H30" s="153">
        <f>H$8*$A30</f>
        <v>5.854177754124535E-2</v>
      </c>
      <c r="I30" s="213">
        <f>I$8*$A30</f>
        <v>0.41192123469930819</v>
      </c>
      <c r="J30" s="155"/>
      <c r="K30" s="212">
        <f>K$8*$A30</f>
        <v>1.3052936910804931E-2</v>
      </c>
      <c r="L30" s="153">
        <f>L$8*$A30</f>
        <v>5.184916606236404E-2</v>
      </c>
      <c r="M30" s="213">
        <f>M$8*$A30</f>
        <v>0.43509789702683105</v>
      </c>
      <c r="N30" s="156"/>
      <c r="O30" s="176"/>
      <c r="P30" s="156"/>
      <c r="Q30" s="177"/>
      <c r="R30" s="156"/>
      <c r="S30" s="176"/>
      <c r="T30" s="156"/>
      <c r="U30" s="177"/>
      <c r="V30" s="156"/>
      <c r="W30" s="176"/>
      <c r="X30" s="156"/>
      <c r="Y30" s="177"/>
      <c r="Z30" s="124"/>
      <c r="AA30" s="167"/>
      <c r="AB30" s="168"/>
      <c r="AC30" s="169"/>
      <c r="AE30" s="167"/>
      <c r="AF30" s="168"/>
      <c r="AG30" s="169"/>
      <c r="AH30" s="5"/>
      <c r="AI30" s="167"/>
      <c r="AJ30" s="168"/>
      <c r="AK30" s="169"/>
    </row>
    <row r="31" spans="1:37">
      <c r="A31" s="219">
        <v>0.5</v>
      </c>
      <c r="B31" s="7">
        <v>0.05</v>
      </c>
      <c r="C31" s="214">
        <f>C$8*($A30-$B31)</f>
        <v>5.6660583941605849E-2</v>
      </c>
      <c r="D31" s="159">
        <f>D$8*($A30-$B31)</f>
        <v>0.11742700729927007</v>
      </c>
      <c r="E31" s="215">
        <f>E$8*($A30-$B31)</f>
        <v>0.27591240875912409</v>
      </c>
      <c r="F31" s="8"/>
      <c r="G31" s="214">
        <f>G$8*($A30-$B31)</f>
        <v>2.6583288983501863E-2</v>
      </c>
      <c r="H31" s="159">
        <f>H$8*($A30-$B31)</f>
        <v>5.2687599787120815E-2</v>
      </c>
      <c r="I31" s="215">
        <f>I$8*($A30-$B31)</f>
        <v>0.37072911122937741</v>
      </c>
      <c r="J31" s="67"/>
      <c r="K31" s="214">
        <f>K$8*($A30-$B31)</f>
        <v>1.1747643219724439E-2</v>
      </c>
      <c r="L31" s="159">
        <f>L$8*($A30-$B31)</f>
        <v>4.6664249456127634E-2</v>
      </c>
      <c r="M31" s="215">
        <f>M$8*($A30-$B31)</f>
        <v>0.39158810732414795</v>
      </c>
      <c r="N31" s="160"/>
      <c r="O31" s="178">
        <f t="shared" ref="O31:Q34" si="36">(C$30-C31)/$A$30</f>
        <v>1.2591240875912402E-2</v>
      </c>
      <c r="P31" s="160">
        <f t="shared" si="36"/>
        <v>2.6094890510948904E-2</v>
      </c>
      <c r="Q31" s="179">
        <f t="shared" si="36"/>
        <v>6.13138686131387E-2</v>
      </c>
      <c r="R31" s="160"/>
      <c r="S31" s="178">
        <f t="shared" ref="S31:U34" si="37">(G$30-G31)/$A$30</f>
        <v>5.9073975518892999E-3</v>
      </c>
      <c r="T31" s="160">
        <f t="shared" si="37"/>
        <v>1.1708355508249071E-2</v>
      </c>
      <c r="U31" s="179">
        <f t="shared" si="37"/>
        <v>8.2384246939861572E-2</v>
      </c>
      <c r="V31" s="160"/>
      <c r="W31" s="178">
        <f t="shared" ref="W31:Y34" si="38">(K$30-K31)/$A$30</f>
        <v>2.6105873821609844E-3</v>
      </c>
      <c r="X31" s="160">
        <f t="shared" si="38"/>
        <v>1.0369833212472812E-2</v>
      </c>
      <c r="Y31" s="179">
        <f t="shared" si="38"/>
        <v>8.7019579405366199E-2</v>
      </c>
      <c r="Z31" s="8"/>
      <c r="AA31" s="144">
        <f t="shared" ref="AA31:AA34" si="39">O31</f>
        <v>1.2591240875912402E-2</v>
      </c>
      <c r="AB31" s="135">
        <f t="shared" ref="AB31:AB34" si="40">P31</f>
        <v>2.6094890510948904E-2</v>
      </c>
      <c r="AC31" s="145">
        <f t="shared" ref="AC31:AC34" si="41">Q31</f>
        <v>6.13138686131387E-2</v>
      </c>
      <c r="AE31" s="144">
        <f t="shared" ref="AE31:AG34" si="42">S31</f>
        <v>5.9073975518892999E-3</v>
      </c>
      <c r="AF31" s="135">
        <f t="shared" si="42"/>
        <v>1.1708355508249071E-2</v>
      </c>
      <c r="AG31" s="145">
        <f t="shared" si="42"/>
        <v>8.2384246939861572E-2</v>
      </c>
      <c r="AH31" s="5"/>
      <c r="AI31" s="144">
        <f t="shared" ref="AI31:AK34" si="43">W31</f>
        <v>2.6105873821609844E-3</v>
      </c>
      <c r="AJ31" s="135">
        <f t="shared" si="43"/>
        <v>1.0369833212472812E-2</v>
      </c>
      <c r="AK31" s="145">
        <f t="shared" si="43"/>
        <v>8.7019579405366199E-2</v>
      </c>
    </row>
    <row r="32" spans="1:37">
      <c r="A32" s="219">
        <v>0.5</v>
      </c>
      <c r="B32" s="7">
        <v>0.1</v>
      </c>
      <c r="C32" s="214">
        <f>C$8*($A30-$B32)</f>
        <v>5.0364963503649642E-2</v>
      </c>
      <c r="D32" s="159">
        <f>D$8*($A30-$B32)</f>
        <v>0.10437956204379562</v>
      </c>
      <c r="E32" s="215">
        <f>E$8*($A30-$B32)</f>
        <v>0.24525547445255477</v>
      </c>
      <c r="F32" s="8"/>
      <c r="G32" s="214">
        <f>G$8*($A30-$B32)</f>
        <v>2.3629590207557213E-2</v>
      </c>
      <c r="H32" s="159">
        <f>H$8*($A30-$B32)</f>
        <v>4.6833422032996286E-2</v>
      </c>
      <c r="I32" s="215">
        <f>I$8*($A30-$B32)</f>
        <v>0.32953698775944656</v>
      </c>
      <c r="J32" s="67"/>
      <c r="K32" s="214">
        <f>K$8*($A30-$B32)</f>
        <v>1.0442349528643945E-2</v>
      </c>
      <c r="L32" s="159">
        <f>L$8*($A30-$B32)</f>
        <v>4.1479332849891234E-2</v>
      </c>
      <c r="M32" s="215">
        <f>M$8*($A30-$B32)</f>
        <v>0.34807831762146485</v>
      </c>
      <c r="N32" s="160"/>
      <c r="O32" s="178">
        <f t="shared" si="36"/>
        <v>2.5182481751824817E-2</v>
      </c>
      <c r="P32" s="160">
        <f t="shared" si="36"/>
        <v>5.2189781021897808E-2</v>
      </c>
      <c r="Q32" s="179">
        <f t="shared" si="36"/>
        <v>0.12262773722627734</v>
      </c>
      <c r="R32" s="160"/>
      <c r="S32" s="178">
        <f t="shared" si="37"/>
        <v>1.18147951037786E-2</v>
      </c>
      <c r="T32" s="160">
        <f t="shared" si="37"/>
        <v>2.3416711016498129E-2</v>
      </c>
      <c r="U32" s="179">
        <f t="shared" si="37"/>
        <v>0.16476849387972325</v>
      </c>
      <c r="V32" s="160"/>
      <c r="W32" s="178">
        <f t="shared" si="38"/>
        <v>5.2211747643219723E-3</v>
      </c>
      <c r="X32" s="160">
        <f t="shared" si="38"/>
        <v>2.073966642494561E-2</v>
      </c>
      <c r="Y32" s="179">
        <f t="shared" si="38"/>
        <v>0.1740391588107324</v>
      </c>
      <c r="Z32" s="8"/>
      <c r="AA32" s="144">
        <f t="shared" si="39"/>
        <v>2.5182481751824817E-2</v>
      </c>
      <c r="AB32" s="135">
        <f t="shared" si="40"/>
        <v>5.2189781021897808E-2</v>
      </c>
      <c r="AC32" s="145">
        <f t="shared" si="41"/>
        <v>0.12262773722627734</v>
      </c>
      <c r="AE32" s="144">
        <f t="shared" si="42"/>
        <v>1.18147951037786E-2</v>
      </c>
      <c r="AF32" s="135">
        <f t="shared" si="42"/>
        <v>2.3416711016498129E-2</v>
      </c>
      <c r="AG32" s="145">
        <f t="shared" si="42"/>
        <v>0.16476849387972325</v>
      </c>
      <c r="AH32" s="5"/>
      <c r="AI32" s="144">
        <f t="shared" si="43"/>
        <v>5.2211747643219723E-3</v>
      </c>
      <c r="AJ32" s="135">
        <f t="shared" si="43"/>
        <v>2.073966642494561E-2</v>
      </c>
      <c r="AK32" s="145">
        <f t="shared" si="43"/>
        <v>0.1740391588107324</v>
      </c>
    </row>
    <row r="33" spans="1:37">
      <c r="A33" s="219">
        <v>0.5</v>
      </c>
      <c r="B33" s="7">
        <v>0.15</v>
      </c>
      <c r="C33" s="214">
        <f>C$8*($A30-$B33)</f>
        <v>4.4069343065693434E-2</v>
      </c>
      <c r="D33" s="159">
        <f>D$8*($A30-$B33)</f>
        <v>9.1332116788321163E-2</v>
      </c>
      <c r="E33" s="215">
        <f>E$8*($A30-$B33)</f>
        <v>0.21459854014598539</v>
      </c>
      <c r="F33" s="8"/>
      <c r="G33" s="214">
        <f>G$8*($A30-$B33)</f>
        <v>2.0675891431612557E-2</v>
      </c>
      <c r="H33" s="159">
        <f>H$8*($A30-$B33)</f>
        <v>4.0979244278871743E-2</v>
      </c>
      <c r="I33" s="215">
        <f>I$8*($A30-$B33)</f>
        <v>0.28834486428951572</v>
      </c>
      <c r="J33" s="67"/>
      <c r="K33" s="214">
        <f>K$8*($A30-$B33)</f>
        <v>9.1370558375634507E-3</v>
      </c>
      <c r="L33" s="159">
        <f>L$8*($A30-$B33)</f>
        <v>3.6294416243654828E-2</v>
      </c>
      <c r="M33" s="215">
        <f>M$8*($A30-$B33)</f>
        <v>0.3045685279187817</v>
      </c>
      <c r="N33" s="160"/>
      <c r="O33" s="178">
        <f t="shared" si="36"/>
        <v>3.7773722627737233E-2</v>
      </c>
      <c r="P33" s="160">
        <f t="shared" si="36"/>
        <v>7.8284671532846711E-2</v>
      </c>
      <c r="Q33" s="179">
        <f t="shared" si="36"/>
        <v>0.1839416058394161</v>
      </c>
      <c r="R33" s="160"/>
      <c r="S33" s="178">
        <f t="shared" si="37"/>
        <v>1.7722192655667914E-2</v>
      </c>
      <c r="T33" s="160">
        <f t="shared" si="37"/>
        <v>3.5125066524747214E-2</v>
      </c>
      <c r="U33" s="179">
        <f t="shared" si="37"/>
        <v>0.24715274081958494</v>
      </c>
      <c r="V33" s="160"/>
      <c r="W33" s="178">
        <f t="shared" si="38"/>
        <v>7.8317621464829602E-3</v>
      </c>
      <c r="X33" s="160">
        <f t="shared" si="38"/>
        <v>3.1109499637418422E-2</v>
      </c>
      <c r="Y33" s="179">
        <f t="shared" si="38"/>
        <v>0.26105873821609871</v>
      </c>
      <c r="Z33" s="8"/>
      <c r="AA33" s="144">
        <f t="shared" si="39"/>
        <v>3.7773722627737233E-2</v>
      </c>
      <c r="AB33" s="135">
        <f t="shared" si="40"/>
        <v>7.8284671532846711E-2</v>
      </c>
      <c r="AC33" s="145">
        <f t="shared" si="41"/>
        <v>0.1839416058394161</v>
      </c>
      <c r="AE33" s="144">
        <f t="shared" si="42"/>
        <v>1.7722192655667914E-2</v>
      </c>
      <c r="AF33" s="135">
        <f t="shared" si="42"/>
        <v>3.5125066524747214E-2</v>
      </c>
      <c r="AG33" s="145">
        <f t="shared" si="42"/>
        <v>0.24715274081958494</v>
      </c>
      <c r="AH33" s="5"/>
      <c r="AI33" s="144">
        <f t="shared" si="43"/>
        <v>7.8317621464829602E-3</v>
      </c>
      <c r="AJ33" s="135">
        <f t="shared" si="43"/>
        <v>3.1109499637418422E-2</v>
      </c>
      <c r="AK33" s="145">
        <f t="shared" si="43"/>
        <v>0.26105873821609871</v>
      </c>
    </row>
    <row r="34" spans="1:37" ht="15" thickBot="1">
      <c r="A34" s="219">
        <v>0.5</v>
      </c>
      <c r="B34" s="128">
        <v>0.2</v>
      </c>
      <c r="C34" s="216">
        <f>C$8*($A30-$B34)</f>
        <v>3.7773722627737226E-2</v>
      </c>
      <c r="D34" s="161">
        <f>D$8*($A30-$B34)</f>
        <v>7.8284671532846711E-2</v>
      </c>
      <c r="E34" s="217">
        <f>E$8*($A30-$B34)</f>
        <v>0.18394160583941607</v>
      </c>
      <c r="F34" s="110"/>
      <c r="G34" s="216">
        <f>G$8*($A30-$B34)</f>
        <v>1.7722192655667907E-2</v>
      </c>
      <c r="H34" s="161">
        <f>H$8*($A30-$B34)</f>
        <v>3.5125066524747207E-2</v>
      </c>
      <c r="I34" s="217">
        <f>I$8*($A30-$B34)</f>
        <v>0.24715274081958491</v>
      </c>
      <c r="J34" s="163"/>
      <c r="K34" s="216">
        <f>K$8*($A30-$B34)</f>
        <v>7.8317621464829585E-3</v>
      </c>
      <c r="L34" s="161">
        <f>L$8*($A30-$B34)</f>
        <v>3.1109499637418422E-2</v>
      </c>
      <c r="M34" s="217">
        <f>M$8*($A30-$B34)</f>
        <v>0.2610587382160986</v>
      </c>
      <c r="N34" s="164"/>
      <c r="O34" s="180">
        <f t="shared" si="36"/>
        <v>5.0364963503649648E-2</v>
      </c>
      <c r="P34" s="164">
        <f t="shared" si="36"/>
        <v>0.10437956204379562</v>
      </c>
      <c r="Q34" s="181">
        <f t="shared" si="36"/>
        <v>0.24525547445255474</v>
      </c>
      <c r="R34" s="164"/>
      <c r="S34" s="180">
        <f t="shared" si="37"/>
        <v>2.3629590207557213E-2</v>
      </c>
      <c r="T34" s="164">
        <f t="shared" si="37"/>
        <v>4.6833422032996286E-2</v>
      </c>
      <c r="U34" s="181">
        <f t="shared" si="37"/>
        <v>0.32953698775944656</v>
      </c>
      <c r="V34" s="164"/>
      <c r="W34" s="180">
        <f t="shared" si="38"/>
        <v>1.0442349528643945E-2</v>
      </c>
      <c r="X34" s="164">
        <f t="shared" si="38"/>
        <v>4.1479332849891234E-2</v>
      </c>
      <c r="Y34" s="181">
        <f t="shared" si="38"/>
        <v>0.34807831762146491</v>
      </c>
      <c r="Z34" s="110"/>
      <c r="AA34" s="146">
        <f t="shared" si="39"/>
        <v>5.0364963503649648E-2</v>
      </c>
      <c r="AB34" s="147">
        <f t="shared" si="40"/>
        <v>0.10437956204379562</v>
      </c>
      <c r="AC34" s="148">
        <f t="shared" si="41"/>
        <v>0.24525547445255474</v>
      </c>
      <c r="AE34" s="146">
        <f t="shared" si="42"/>
        <v>2.3629590207557213E-2</v>
      </c>
      <c r="AF34" s="147">
        <f t="shared" si="42"/>
        <v>4.6833422032996286E-2</v>
      </c>
      <c r="AG34" s="148">
        <f t="shared" si="42"/>
        <v>0.32953698775944656</v>
      </c>
      <c r="AH34" s="5"/>
      <c r="AI34" s="146">
        <f t="shared" si="43"/>
        <v>1.0442349528643945E-2</v>
      </c>
      <c r="AJ34" s="147">
        <f t="shared" si="43"/>
        <v>4.1479332849891234E-2</v>
      </c>
      <c r="AK34" s="148">
        <f t="shared" si="43"/>
        <v>0.34807831762146491</v>
      </c>
    </row>
    <row r="35" spans="1:37">
      <c r="A35" s="218">
        <v>0.6</v>
      </c>
      <c r="B35" s="123">
        <v>0</v>
      </c>
      <c r="C35" s="212">
        <f>C$8*$A35</f>
        <v>7.5547445255474452E-2</v>
      </c>
      <c r="D35" s="153">
        <f>D$8*$A35</f>
        <v>0.15656934306569342</v>
      </c>
      <c r="E35" s="213">
        <f>E$8*$A35</f>
        <v>0.36788321167883214</v>
      </c>
      <c r="F35" s="125"/>
      <c r="G35" s="212">
        <f>G$8*$A35</f>
        <v>3.5444385311335813E-2</v>
      </c>
      <c r="H35" s="153">
        <f>H$8*$A35</f>
        <v>7.0250133049494415E-2</v>
      </c>
      <c r="I35" s="213">
        <f>I$8*$A35</f>
        <v>0.49430548163916982</v>
      </c>
      <c r="J35" s="125"/>
      <c r="K35" s="212">
        <f>K$8*$A35</f>
        <v>1.5663524292965917E-2</v>
      </c>
      <c r="L35" s="153">
        <f>L$8*$A35</f>
        <v>6.2218999274836845E-2</v>
      </c>
      <c r="M35" s="213">
        <f>M$8*$A35</f>
        <v>0.52211747643219719</v>
      </c>
      <c r="N35" s="125"/>
      <c r="O35" s="176"/>
      <c r="P35" s="156"/>
      <c r="Q35" s="177"/>
      <c r="R35" s="125"/>
      <c r="S35" s="176"/>
      <c r="T35" s="156"/>
      <c r="U35" s="177"/>
      <c r="V35" s="125"/>
      <c r="W35" s="176"/>
      <c r="X35" s="156"/>
      <c r="Y35" s="177"/>
      <c r="Z35" s="125"/>
      <c r="AA35" s="167"/>
      <c r="AB35" s="168"/>
      <c r="AC35" s="169"/>
      <c r="AE35" s="167"/>
      <c r="AF35" s="168"/>
      <c r="AG35" s="169"/>
      <c r="AI35" s="167"/>
      <c r="AJ35" s="168"/>
      <c r="AK35" s="169"/>
    </row>
    <row r="36" spans="1:37">
      <c r="A36" s="219">
        <v>0.6</v>
      </c>
      <c r="B36" s="7">
        <v>0.05</v>
      </c>
      <c r="C36" s="214">
        <f>C$8*($A35-$B36)</f>
        <v>6.9251824817518251E-2</v>
      </c>
      <c r="D36" s="159">
        <f>D$8*($A35-$B36)</f>
        <v>0.14352189781021896</v>
      </c>
      <c r="E36" s="215">
        <f>E$8*($A35-$B36)</f>
        <v>0.33722627737226274</v>
      </c>
      <c r="F36" s="63"/>
      <c r="G36" s="214">
        <f>G$8*($A35-$B36)</f>
        <v>3.249068653539116E-2</v>
      </c>
      <c r="H36" s="159">
        <f>H$8*($A35-$B36)</f>
        <v>6.4395955295369872E-2</v>
      </c>
      <c r="I36" s="215">
        <f>I$8*($A35-$B36)</f>
        <v>0.45311335816923898</v>
      </c>
      <c r="J36" s="63"/>
      <c r="K36" s="214">
        <f>K$8*($A35-$B36)</f>
        <v>1.4358230601885421E-2</v>
      </c>
      <c r="L36" s="159">
        <f>L$8*($A35-$B36)</f>
        <v>5.7034082668600439E-2</v>
      </c>
      <c r="M36" s="215">
        <f>M$8*($A35-$B36)</f>
        <v>0.47860768672951409</v>
      </c>
      <c r="N36" s="63"/>
      <c r="O36" s="178">
        <f t="shared" ref="O36:Q39" si="44">(C$35-C36)/$A$35</f>
        <v>1.0492700729927001E-2</v>
      </c>
      <c r="P36" s="160">
        <f t="shared" si="44"/>
        <v>2.1745742092457443E-2</v>
      </c>
      <c r="Q36" s="179">
        <f t="shared" si="44"/>
        <v>5.1094890510949009E-2</v>
      </c>
      <c r="R36" s="63"/>
      <c r="S36" s="178">
        <f t="shared" ref="S36:U39" si="45">(G$35-G36)/$A$35</f>
        <v>4.9228312932410893E-3</v>
      </c>
      <c r="T36" s="160">
        <f t="shared" si="45"/>
        <v>9.7569629235409044E-3</v>
      </c>
      <c r="U36" s="179">
        <f t="shared" si="45"/>
        <v>6.8653539116551407E-2</v>
      </c>
      <c r="V36" s="63"/>
      <c r="W36" s="178">
        <f t="shared" ref="W36:Y39" si="46">(K$35-K36)/$A$35</f>
        <v>2.1754894851341595E-3</v>
      </c>
      <c r="X36" s="160">
        <f t="shared" si="46"/>
        <v>8.6415276770606779E-3</v>
      </c>
      <c r="Y36" s="179">
        <f t="shared" si="46"/>
        <v>7.2516316171138503E-2</v>
      </c>
      <c r="Z36" s="63"/>
      <c r="AA36" s="144">
        <f t="shared" ref="AA36:AA39" si="47">O36</f>
        <v>1.0492700729927001E-2</v>
      </c>
      <c r="AB36" s="135">
        <f t="shared" ref="AB36:AB39" si="48">P36</f>
        <v>2.1745742092457443E-2</v>
      </c>
      <c r="AC36" s="145">
        <f t="shared" ref="AC36:AC39" si="49">Q36</f>
        <v>5.1094890510949009E-2</v>
      </c>
      <c r="AE36" s="144">
        <f t="shared" ref="AE36:AG39" si="50">S36</f>
        <v>4.9228312932410893E-3</v>
      </c>
      <c r="AF36" s="135">
        <f t="shared" si="50"/>
        <v>9.7569629235409044E-3</v>
      </c>
      <c r="AG36" s="145">
        <f t="shared" si="50"/>
        <v>6.8653539116551407E-2</v>
      </c>
      <c r="AI36" s="144">
        <f t="shared" ref="AI36:AK39" si="51">W36</f>
        <v>2.1754894851341595E-3</v>
      </c>
      <c r="AJ36" s="135">
        <f t="shared" si="51"/>
        <v>8.6415276770606779E-3</v>
      </c>
      <c r="AK36" s="145">
        <f t="shared" si="51"/>
        <v>7.2516316171138503E-2</v>
      </c>
    </row>
    <row r="37" spans="1:37">
      <c r="A37" s="219">
        <v>0.6</v>
      </c>
      <c r="B37" s="7">
        <v>0.1</v>
      </c>
      <c r="C37" s="214">
        <f>C$8*($A35-$B37)</f>
        <v>6.295620437956205E-2</v>
      </c>
      <c r="D37" s="159">
        <f>D$8*($A35-$B37)</f>
        <v>0.13047445255474452</v>
      </c>
      <c r="E37" s="215">
        <f>E$8*($A35-$B37)</f>
        <v>0.30656934306569344</v>
      </c>
      <c r="F37" s="63"/>
      <c r="G37" s="214">
        <f>G$8*($A35-$B37)</f>
        <v>2.9536987759446513E-2</v>
      </c>
      <c r="H37" s="159">
        <f>H$8*($A35-$B37)</f>
        <v>5.854177754124535E-2</v>
      </c>
      <c r="I37" s="215">
        <f>I$8*($A35-$B37)</f>
        <v>0.41192123469930819</v>
      </c>
      <c r="J37" s="63"/>
      <c r="K37" s="214">
        <f>K$8*($A35-$B37)</f>
        <v>1.3052936910804931E-2</v>
      </c>
      <c r="L37" s="159">
        <f>L$8*($A35-$B37)</f>
        <v>5.184916606236404E-2</v>
      </c>
      <c r="M37" s="215">
        <f>M$8*($A35-$B37)</f>
        <v>0.43509789702683105</v>
      </c>
      <c r="N37" s="63"/>
      <c r="O37" s="178">
        <f t="shared" si="44"/>
        <v>2.0985401459854003E-2</v>
      </c>
      <c r="P37" s="160">
        <f t="shared" si="44"/>
        <v>4.3491484184914844E-2</v>
      </c>
      <c r="Q37" s="179">
        <f t="shared" si="44"/>
        <v>0.10218978102189784</v>
      </c>
      <c r="R37" s="63"/>
      <c r="S37" s="178">
        <f t="shared" si="45"/>
        <v>9.8456625864821665E-3</v>
      </c>
      <c r="T37" s="160">
        <f t="shared" si="45"/>
        <v>1.9513925847081774E-2</v>
      </c>
      <c r="U37" s="179">
        <f t="shared" si="45"/>
        <v>0.13730707823310273</v>
      </c>
      <c r="V37" s="63"/>
      <c r="W37" s="178">
        <f t="shared" si="46"/>
        <v>4.3509789702683103E-3</v>
      </c>
      <c r="X37" s="160">
        <f t="shared" si="46"/>
        <v>1.7283055354121342E-2</v>
      </c>
      <c r="Y37" s="179">
        <f t="shared" si="46"/>
        <v>0.14503263234227692</v>
      </c>
      <c r="Z37" s="63"/>
      <c r="AA37" s="144">
        <f t="shared" si="47"/>
        <v>2.0985401459854003E-2</v>
      </c>
      <c r="AB37" s="135">
        <f t="shared" si="48"/>
        <v>4.3491484184914844E-2</v>
      </c>
      <c r="AC37" s="145">
        <f t="shared" si="49"/>
        <v>0.10218978102189784</v>
      </c>
      <c r="AE37" s="144">
        <f t="shared" si="50"/>
        <v>9.8456625864821665E-3</v>
      </c>
      <c r="AF37" s="135">
        <f t="shared" si="50"/>
        <v>1.9513925847081774E-2</v>
      </c>
      <c r="AG37" s="145">
        <f t="shared" si="50"/>
        <v>0.13730707823310273</v>
      </c>
      <c r="AI37" s="144">
        <f t="shared" si="51"/>
        <v>4.3509789702683103E-3</v>
      </c>
      <c r="AJ37" s="135">
        <f t="shared" si="51"/>
        <v>1.7283055354121342E-2</v>
      </c>
      <c r="AK37" s="145">
        <f t="shared" si="51"/>
        <v>0.14503263234227692</v>
      </c>
    </row>
    <row r="38" spans="1:37">
      <c r="A38" s="219">
        <v>0.6</v>
      </c>
      <c r="B38" s="7">
        <v>0.15</v>
      </c>
      <c r="C38" s="214">
        <f>C$8*($A35-$B38)</f>
        <v>5.6660583941605842E-2</v>
      </c>
      <c r="D38" s="159">
        <f>D$8*($A35-$B38)</f>
        <v>0.11742700729927005</v>
      </c>
      <c r="E38" s="215">
        <f>E$8*($A35-$B38)</f>
        <v>0.27591240875912409</v>
      </c>
      <c r="F38" s="63"/>
      <c r="G38" s="214">
        <f>G$8*($A35-$B38)</f>
        <v>2.658328898350186E-2</v>
      </c>
      <c r="H38" s="159">
        <f>H$8*($A35-$B38)</f>
        <v>5.2687599787120808E-2</v>
      </c>
      <c r="I38" s="215">
        <f>I$8*($A35-$B38)</f>
        <v>0.37072911122937735</v>
      </c>
      <c r="K38" s="214">
        <f>K$8*($A35-$B38)</f>
        <v>1.1747643219724437E-2</v>
      </c>
      <c r="L38" s="159">
        <f>L$8*($A35-$B38)</f>
        <v>4.6664249456127634E-2</v>
      </c>
      <c r="M38" s="215">
        <f>M$8*($A35-$B38)</f>
        <v>0.39158810732414789</v>
      </c>
      <c r="O38" s="178">
        <f t="shared" si="44"/>
        <v>3.1478102189781018E-2</v>
      </c>
      <c r="P38" s="160">
        <f t="shared" si="44"/>
        <v>6.5237226277372287E-2</v>
      </c>
      <c r="Q38" s="179">
        <f t="shared" si="44"/>
        <v>0.15328467153284675</v>
      </c>
      <c r="S38" s="178">
        <f t="shared" si="45"/>
        <v>1.4768493879723257E-2</v>
      </c>
      <c r="T38" s="160">
        <f t="shared" si="45"/>
        <v>2.9270888770622679E-2</v>
      </c>
      <c r="U38" s="179">
        <f t="shared" si="45"/>
        <v>0.20596061734965412</v>
      </c>
      <c r="W38" s="178">
        <f t="shared" si="46"/>
        <v>6.5264684554024672E-3</v>
      </c>
      <c r="X38" s="160">
        <f t="shared" si="46"/>
        <v>2.592458303118202E-2</v>
      </c>
      <c r="Y38" s="179">
        <f t="shared" si="46"/>
        <v>0.2175489485134155</v>
      </c>
      <c r="AA38" s="144">
        <f t="shared" si="47"/>
        <v>3.1478102189781018E-2</v>
      </c>
      <c r="AB38" s="135">
        <f t="shared" si="48"/>
        <v>6.5237226277372287E-2</v>
      </c>
      <c r="AC38" s="145">
        <f t="shared" si="49"/>
        <v>0.15328467153284675</v>
      </c>
      <c r="AE38" s="144">
        <f t="shared" si="50"/>
        <v>1.4768493879723257E-2</v>
      </c>
      <c r="AF38" s="135">
        <f t="shared" si="50"/>
        <v>2.9270888770622679E-2</v>
      </c>
      <c r="AG38" s="145">
        <f t="shared" si="50"/>
        <v>0.20596061734965412</v>
      </c>
      <c r="AI38" s="144">
        <f t="shared" si="51"/>
        <v>6.5264684554024672E-3</v>
      </c>
      <c r="AJ38" s="135">
        <f t="shared" si="51"/>
        <v>2.592458303118202E-2</v>
      </c>
      <c r="AK38" s="145">
        <f t="shared" si="51"/>
        <v>0.2175489485134155</v>
      </c>
    </row>
    <row r="39" spans="1:37" ht="15" thickBot="1">
      <c r="A39" s="219">
        <v>0.6</v>
      </c>
      <c r="B39" s="128">
        <v>0.2</v>
      </c>
      <c r="C39" s="216">
        <f>C$8*($A35-$B39)</f>
        <v>5.0364963503649635E-2</v>
      </c>
      <c r="D39" s="161">
        <f>D$8*($A35-$B39)</f>
        <v>0.1043795620437956</v>
      </c>
      <c r="E39" s="217">
        <f>E$8*($A35-$B39)</f>
        <v>0.24525547445255474</v>
      </c>
      <c r="F39" s="87"/>
      <c r="G39" s="216">
        <f>G$8*($A35-$B39)</f>
        <v>2.362959020755721E-2</v>
      </c>
      <c r="H39" s="161">
        <f>H$8*($A35-$B39)</f>
        <v>4.6833422032996279E-2</v>
      </c>
      <c r="I39" s="217">
        <f>I$8*($A35-$B39)</f>
        <v>0.32953698775944651</v>
      </c>
      <c r="J39" s="87"/>
      <c r="K39" s="216">
        <f>K$8*($A35-$B39)</f>
        <v>1.0442349528643943E-2</v>
      </c>
      <c r="L39" s="161">
        <f>L$8*($A35-$B39)</f>
        <v>4.1479332849891228E-2</v>
      </c>
      <c r="M39" s="217">
        <f>M$8*($A35-$B39)</f>
        <v>0.34807831762146479</v>
      </c>
      <c r="N39" s="87"/>
      <c r="O39" s="180">
        <f t="shared" si="44"/>
        <v>4.1970802919708033E-2</v>
      </c>
      <c r="P39" s="164">
        <f t="shared" si="44"/>
        <v>8.6982968369829702E-2</v>
      </c>
      <c r="Q39" s="181">
        <f t="shared" si="44"/>
        <v>0.20437956204379568</v>
      </c>
      <c r="R39" s="87"/>
      <c r="S39" s="180">
        <f t="shared" si="45"/>
        <v>1.969132517296434E-2</v>
      </c>
      <c r="T39" s="164">
        <f t="shared" si="45"/>
        <v>3.9027851694163562E-2</v>
      </c>
      <c r="U39" s="181">
        <f t="shared" si="45"/>
        <v>0.27461415646620552</v>
      </c>
      <c r="V39" s="87"/>
      <c r="W39" s="180">
        <f t="shared" si="46"/>
        <v>8.701957940536624E-3</v>
      </c>
      <c r="X39" s="164">
        <f t="shared" si="46"/>
        <v>3.4566110708242698E-2</v>
      </c>
      <c r="Y39" s="181">
        <f t="shared" si="46"/>
        <v>0.29006526468455401</v>
      </c>
      <c r="Z39" s="87"/>
      <c r="AA39" s="146">
        <f t="shared" si="47"/>
        <v>4.1970802919708033E-2</v>
      </c>
      <c r="AB39" s="147">
        <f t="shared" si="48"/>
        <v>8.6982968369829702E-2</v>
      </c>
      <c r="AC39" s="148">
        <f t="shared" si="49"/>
        <v>0.20437956204379568</v>
      </c>
      <c r="AE39" s="146">
        <f t="shared" si="50"/>
        <v>1.969132517296434E-2</v>
      </c>
      <c r="AF39" s="147">
        <f t="shared" si="50"/>
        <v>3.9027851694163562E-2</v>
      </c>
      <c r="AG39" s="148">
        <f t="shared" si="50"/>
        <v>0.27461415646620552</v>
      </c>
      <c r="AI39" s="146">
        <f t="shared" si="51"/>
        <v>8.701957940536624E-3</v>
      </c>
      <c r="AJ39" s="147">
        <f t="shared" si="51"/>
        <v>3.4566110708242698E-2</v>
      </c>
      <c r="AK39" s="148">
        <f t="shared" si="51"/>
        <v>0.29006526468455401</v>
      </c>
    </row>
    <row r="40" spans="1:37">
      <c r="A40" s="218">
        <v>0.7</v>
      </c>
      <c r="B40" s="123">
        <v>0</v>
      </c>
      <c r="C40" s="212">
        <f>C$8*$A40</f>
        <v>8.8138686131386867E-2</v>
      </c>
      <c r="D40" s="153">
        <f>D$8*$A40</f>
        <v>0.18266423357664233</v>
      </c>
      <c r="E40" s="213">
        <f>E$8*$A40</f>
        <v>0.42919708029197079</v>
      </c>
      <c r="F40" s="125"/>
      <c r="G40" s="212">
        <f>G$8*$A40</f>
        <v>4.1351782863225113E-2</v>
      </c>
      <c r="H40" s="153">
        <f>H$8*$A40</f>
        <v>8.1958488557743486E-2</v>
      </c>
      <c r="I40" s="213">
        <f>I$8*$A40</f>
        <v>0.57668972857903145</v>
      </c>
      <c r="J40" s="125"/>
      <c r="K40" s="212">
        <f>K$8*$A40</f>
        <v>1.8274111675126901E-2</v>
      </c>
      <c r="L40" s="153">
        <f>L$8*$A40</f>
        <v>7.2588832487309657E-2</v>
      </c>
      <c r="M40" s="213">
        <f>M$8*$A40</f>
        <v>0.60913705583756339</v>
      </c>
      <c r="N40" s="125"/>
      <c r="O40" s="176"/>
      <c r="P40" s="156"/>
      <c r="Q40" s="177"/>
      <c r="R40" s="125"/>
      <c r="S40" s="176"/>
      <c r="T40" s="156"/>
      <c r="U40" s="177"/>
      <c r="V40" s="125"/>
      <c r="W40" s="176"/>
      <c r="X40" s="156"/>
      <c r="Y40" s="177"/>
      <c r="Z40" s="125"/>
      <c r="AA40" s="167"/>
      <c r="AB40" s="168"/>
      <c r="AC40" s="169"/>
      <c r="AE40" s="167"/>
      <c r="AF40" s="168"/>
      <c r="AG40" s="169"/>
      <c r="AI40" s="167"/>
      <c r="AJ40" s="168"/>
      <c r="AK40" s="169"/>
    </row>
    <row r="41" spans="1:37">
      <c r="A41" s="219">
        <v>0.7</v>
      </c>
      <c r="B41" s="7">
        <v>0.05</v>
      </c>
      <c r="C41" s="214">
        <f>C$8*($A40-$B41)</f>
        <v>8.1843065693430653E-2</v>
      </c>
      <c r="D41" s="159">
        <f>D$8*($A40-$B41)</f>
        <v>0.16961678832116786</v>
      </c>
      <c r="E41" s="215">
        <f>E$8*($A40-$B41)</f>
        <v>0.39854014598540144</v>
      </c>
      <c r="F41" s="64"/>
      <c r="G41" s="214">
        <f>G$8*($A40-$B41)</f>
        <v>3.839808408728046E-2</v>
      </c>
      <c r="H41" s="159">
        <f>H$8*($A40-$B41)</f>
        <v>7.6104310803618944E-2</v>
      </c>
      <c r="I41" s="215">
        <f>I$8*($A40-$B41)</f>
        <v>0.53549760510910061</v>
      </c>
      <c r="K41" s="214">
        <f>K$8*($A40-$B41)</f>
        <v>1.6968817984046407E-2</v>
      </c>
      <c r="L41" s="159">
        <f>L$8*($A40-$B41)</f>
        <v>6.7403915881073237E-2</v>
      </c>
      <c r="M41" s="215">
        <f>M$8*($A40-$B41)</f>
        <v>0.56562726613488024</v>
      </c>
      <c r="O41" s="178">
        <f t="shared" ref="O41:Q44" si="52">(C$40-C41)/$A$40</f>
        <v>8.9937434827945927E-3</v>
      </c>
      <c r="P41" s="160">
        <f t="shared" si="52"/>
        <v>1.8639207507820665E-2</v>
      </c>
      <c r="Q41" s="179">
        <f t="shared" si="52"/>
        <v>4.379562043795622E-2</v>
      </c>
      <c r="S41" s="178">
        <f t="shared" ref="S41:U44" si="53">(G$40-G41)/$A$40</f>
        <v>4.2195696799209341E-3</v>
      </c>
      <c r="T41" s="160">
        <f t="shared" si="53"/>
        <v>8.363111077320776E-3</v>
      </c>
      <c r="U41" s="179">
        <f t="shared" si="53"/>
        <v>5.8845890671329774E-2</v>
      </c>
      <c r="W41" s="178">
        <f t="shared" ref="W41:Y44" si="54">(K$40-K41)/$A$40</f>
        <v>1.8647052729721344E-3</v>
      </c>
      <c r="X41" s="160">
        <f t="shared" si="54"/>
        <v>7.4070237231948863E-3</v>
      </c>
      <c r="Y41" s="179">
        <f t="shared" si="54"/>
        <v>6.2156842432404512E-2</v>
      </c>
      <c r="AA41" s="144">
        <f t="shared" ref="AA41:AA44" si="55">O41</f>
        <v>8.9937434827945927E-3</v>
      </c>
      <c r="AB41" s="135">
        <f t="shared" ref="AB41:AB44" si="56">P41</f>
        <v>1.8639207507820665E-2</v>
      </c>
      <c r="AC41" s="145">
        <f t="shared" ref="AC41:AC44" si="57">Q41</f>
        <v>4.379562043795622E-2</v>
      </c>
      <c r="AE41" s="144">
        <f t="shared" ref="AE41:AG44" si="58">S41</f>
        <v>4.2195696799209341E-3</v>
      </c>
      <c r="AF41" s="135">
        <f t="shared" si="58"/>
        <v>8.363111077320776E-3</v>
      </c>
      <c r="AG41" s="145">
        <f t="shared" si="58"/>
        <v>5.8845890671329774E-2</v>
      </c>
      <c r="AI41" s="144">
        <f t="shared" ref="AI41:AK44" si="59">W41</f>
        <v>1.8647052729721344E-3</v>
      </c>
      <c r="AJ41" s="135">
        <f t="shared" si="59"/>
        <v>7.4070237231948863E-3</v>
      </c>
      <c r="AK41" s="145">
        <f t="shared" si="59"/>
        <v>6.2156842432404512E-2</v>
      </c>
    </row>
    <row r="42" spans="1:37">
      <c r="A42" s="219">
        <v>0.7</v>
      </c>
      <c r="B42" s="7">
        <v>0.1</v>
      </c>
      <c r="C42" s="214">
        <f>C$8*($A40-$B42)</f>
        <v>7.5547445255474452E-2</v>
      </c>
      <c r="D42" s="159">
        <f>D$8*($A40-$B42)</f>
        <v>0.15656934306569342</v>
      </c>
      <c r="E42" s="215">
        <f>E$8*($A40-$B42)</f>
        <v>0.36788321167883214</v>
      </c>
      <c r="F42" s="64"/>
      <c r="G42" s="214">
        <f>G$8*($A40-$B42)</f>
        <v>3.5444385311335813E-2</v>
      </c>
      <c r="H42" s="159">
        <f>H$8*($A40-$B42)</f>
        <v>7.0250133049494415E-2</v>
      </c>
      <c r="I42" s="215">
        <f>I$8*($A40-$B42)</f>
        <v>0.49430548163916982</v>
      </c>
      <c r="J42" s="170"/>
      <c r="K42" s="214">
        <f>K$8*($A40-$B42)</f>
        <v>1.5663524292965917E-2</v>
      </c>
      <c r="L42" s="159">
        <f>L$8*($A40-$B42)</f>
        <v>6.2218999274836845E-2</v>
      </c>
      <c r="M42" s="215">
        <f>M$8*($A40-$B42)</f>
        <v>0.52211747643219719</v>
      </c>
      <c r="O42" s="178">
        <f t="shared" si="52"/>
        <v>1.7987486965589165E-2</v>
      </c>
      <c r="P42" s="160">
        <f t="shared" si="52"/>
        <v>3.7278415015641296E-2</v>
      </c>
      <c r="Q42" s="179">
        <f t="shared" si="52"/>
        <v>8.7591240875912357E-2</v>
      </c>
      <c r="S42" s="178">
        <f t="shared" si="53"/>
        <v>8.4391393598418577E-3</v>
      </c>
      <c r="T42" s="160">
        <f t="shared" si="53"/>
        <v>1.6726222154641531E-2</v>
      </c>
      <c r="U42" s="179">
        <f t="shared" si="53"/>
        <v>0.11769178134265948</v>
      </c>
      <c r="W42" s="178">
        <f t="shared" si="54"/>
        <v>3.7294105459442636E-3</v>
      </c>
      <c r="X42" s="160">
        <f t="shared" si="54"/>
        <v>1.4814047446389733E-2</v>
      </c>
      <c r="Y42" s="179">
        <f t="shared" si="54"/>
        <v>0.12431368486480886</v>
      </c>
      <c r="AA42" s="144">
        <f t="shared" si="55"/>
        <v>1.7987486965589165E-2</v>
      </c>
      <c r="AB42" s="135">
        <f t="shared" si="56"/>
        <v>3.7278415015641296E-2</v>
      </c>
      <c r="AC42" s="145">
        <f t="shared" si="57"/>
        <v>8.7591240875912357E-2</v>
      </c>
      <c r="AE42" s="144">
        <f t="shared" si="58"/>
        <v>8.4391393598418577E-3</v>
      </c>
      <c r="AF42" s="135">
        <f t="shared" si="58"/>
        <v>1.6726222154641531E-2</v>
      </c>
      <c r="AG42" s="145">
        <f t="shared" si="58"/>
        <v>0.11769178134265948</v>
      </c>
      <c r="AI42" s="144">
        <f t="shared" si="59"/>
        <v>3.7294105459442636E-3</v>
      </c>
      <c r="AJ42" s="135">
        <f t="shared" si="59"/>
        <v>1.4814047446389733E-2</v>
      </c>
      <c r="AK42" s="145">
        <f t="shared" si="59"/>
        <v>0.12431368486480886</v>
      </c>
    </row>
    <row r="43" spans="1:37">
      <c r="A43" s="219">
        <v>0.7</v>
      </c>
      <c r="B43" s="7">
        <v>0.15</v>
      </c>
      <c r="C43" s="214">
        <f>C$8*($A40-$B43)</f>
        <v>6.9251824817518251E-2</v>
      </c>
      <c r="D43" s="159">
        <f>D$8*($A40-$B43)</f>
        <v>0.14352189781021896</v>
      </c>
      <c r="E43" s="215">
        <f>E$8*($A40-$B43)</f>
        <v>0.33722627737226274</v>
      </c>
      <c r="F43" s="64"/>
      <c r="G43" s="214">
        <f>G$8*($A40-$B43)</f>
        <v>3.249068653539116E-2</v>
      </c>
      <c r="H43" s="159">
        <f>H$8*($A40-$B43)</f>
        <v>6.4395955295369872E-2</v>
      </c>
      <c r="I43" s="215">
        <f>I$8*($A40-$B43)</f>
        <v>0.45311335816923898</v>
      </c>
      <c r="J43" s="170"/>
      <c r="K43" s="214">
        <f>K$8*($A40-$B43)</f>
        <v>1.4358230601885421E-2</v>
      </c>
      <c r="L43" s="159">
        <f>L$8*($A40-$B43)</f>
        <v>5.7034082668600439E-2</v>
      </c>
      <c r="M43" s="215">
        <f>M$8*($A40-$B43)</f>
        <v>0.47860768672951409</v>
      </c>
      <c r="O43" s="178">
        <f t="shared" si="52"/>
        <v>2.6981230448383738E-2</v>
      </c>
      <c r="P43" s="160">
        <f t="shared" si="52"/>
        <v>5.5917622523461961E-2</v>
      </c>
      <c r="Q43" s="179">
        <f t="shared" si="52"/>
        <v>0.13138686131386865</v>
      </c>
      <c r="S43" s="178">
        <f t="shared" si="53"/>
        <v>1.2658709039762791E-2</v>
      </c>
      <c r="T43" s="160">
        <f t="shared" si="53"/>
        <v>2.5089333231962309E-2</v>
      </c>
      <c r="U43" s="179">
        <f t="shared" si="53"/>
        <v>0.17653767201398926</v>
      </c>
      <c r="W43" s="178">
        <f t="shared" si="54"/>
        <v>5.5941158189164002E-3</v>
      </c>
      <c r="X43" s="160">
        <f t="shared" si="54"/>
        <v>2.2221071169584598E-2</v>
      </c>
      <c r="Y43" s="179">
        <f t="shared" si="54"/>
        <v>0.18647052729721331</v>
      </c>
      <c r="AA43" s="144">
        <f t="shared" si="55"/>
        <v>2.6981230448383738E-2</v>
      </c>
      <c r="AB43" s="135">
        <f t="shared" si="56"/>
        <v>5.5917622523461961E-2</v>
      </c>
      <c r="AC43" s="145">
        <f t="shared" si="57"/>
        <v>0.13138686131386865</v>
      </c>
      <c r="AE43" s="144">
        <f t="shared" si="58"/>
        <v>1.2658709039762791E-2</v>
      </c>
      <c r="AF43" s="135">
        <f t="shared" si="58"/>
        <v>2.5089333231962309E-2</v>
      </c>
      <c r="AG43" s="145">
        <f t="shared" si="58"/>
        <v>0.17653767201398926</v>
      </c>
      <c r="AI43" s="144">
        <f t="shared" si="59"/>
        <v>5.5941158189164002E-3</v>
      </c>
      <c r="AJ43" s="135">
        <f t="shared" si="59"/>
        <v>2.2221071169584598E-2</v>
      </c>
      <c r="AK43" s="145">
        <f t="shared" si="59"/>
        <v>0.18647052729721331</v>
      </c>
    </row>
    <row r="44" spans="1:37" ht="15" thickBot="1">
      <c r="A44" s="219">
        <v>0.7</v>
      </c>
      <c r="B44" s="128">
        <v>0.2</v>
      </c>
      <c r="C44" s="216">
        <f>C$8*($A40-$B44)</f>
        <v>6.2956204379562036E-2</v>
      </c>
      <c r="D44" s="161">
        <f>D$8*($A40-$B44)</f>
        <v>0.13047445255474449</v>
      </c>
      <c r="E44" s="217">
        <f>E$8*($A40-$B44)</f>
        <v>0.30656934306569339</v>
      </c>
      <c r="F44" s="171"/>
      <c r="G44" s="216">
        <f>G$8*($A40-$B44)</f>
        <v>2.953698775944651E-2</v>
      </c>
      <c r="H44" s="161">
        <f>H$8*($A40-$B44)</f>
        <v>5.8541777541245343E-2</v>
      </c>
      <c r="I44" s="217">
        <f>I$8*($A40-$B44)</f>
        <v>0.41192123469930814</v>
      </c>
      <c r="J44" s="172"/>
      <c r="K44" s="216">
        <f>K$8*($A40-$B44)</f>
        <v>1.3052936910804929E-2</v>
      </c>
      <c r="L44" s="161">
        <f>L$8*($A40-$B44)</f>
        <v>5.1849166062364033E-2</v>
      </c>
      <c r="M44" s="217">
        <f>M$8*($A40-$B44)</f>
        <v>0.43509789702683099</v>
      </c>
      <c r="N44" s="87"/>
      <c r="O44" s="180">
        <f t="shared" si="52"/>
        <v>3.5974973931178329E-2</v>
      </c>
      <c r="P44" s="164">
        <f t="shared" si="52"/>
        <v>7.455683003128262E-2</v>
      </c>
      <c r="Q44" s="181">
        <f t="shared" si="52"/>
        <v>0.17518248175182488</v>
      </c>
      <c r="R44" s="87"/>
      <c r="S44" s="180">
        <f t="shared" si="53"/>
        <v>1.6878278719683719E-2</v>
      </c>
      <c r="T44" s="164">
        <f t="shared" si="53"/>
        <v>3.3452444309283062E-2</v>
      </c>
      <c r="U44" s="181">
        <f t="shared" si="53"/>
        <v>0.23538356268531904</v>
      </c>
      <c r="V44" s="87"/>
      <c r="W44" s="180">
        <f t="shared" si="54"/>
        <v>7.4588210918885324E-3</v>
      </c>
      <c r="X44" s="164">
        <f t="shared" si="54"/>
        <v>2.9628094892779466E-2</v>
      </c>
      <c r="Y44" s="181">
        <f t="shared" si="54"/>
        <v>0.24862736972961771</v>
      </c>
      <c r="Z44" s="87"/>
      <c r="AA44" s="146">
        <f t="shared" si="55"/>
        <v>3.5974973931178329E-2</v>
      </c>
      <c r="AB44" s="147">
        <f t="shared" si="56"/>
        <v>7.455683003128262E-2</v>
      </c>
      <c r="AC44" s="148">
        <f t="shared" si="57"/>
        <v>0.17518248175182488</v>
      </c>
      <c r="AE44" s="146">
        <f t="shared" si="58"/>
        <v>1.6878278719683719E-2</v>
      </c>
      <c r="AF44" s="147">
        <f t="shared" si="58"/>
        <v>3.3452444309283062E-2</v>
      </c>
      <c r="AG44" s="148">
        <f t="shared" si="58"/>
        <v>0.23538356268531904</v>
      </c>
      <c r="AI44" s="146">
        <f t="shared" si="59"/>
        <v>7.4588210918885324E-3</v>
      </c>
      <c r="AJ44" s="147">
        <f t="shared" si="59"/>
        <v>2.9628094892779466E-2</v>
      </c>
      <c r="AK44" s="148">
        <f t="shared" si="59"/>
        <v>0.24862736972961771</v>
      </c>
    </row>
    <row r="45" spans="1:37">
      <c r="A45" s="218">
        <v>0.8</v>
      </c>
      <c r="B45" s="123">
        <v>0</v>
      </c>
      <c r="C45" s="212">
        <f>C$8*$A45</f>
        <v>0.10072992700729928</v>
      </c>
      <c r="D45" s="153">
        <f>D$8*$A45</f>
        <v>0.20875912408759123</v>
      </c>
      <c r="E45" s="213">
        <f>E$8*$A45</f>
        <v>0.49051094890510955</v>
      </c>
      <c r="F45" s="125"/>
      <c r="G45" s="212">
        <f>G$8*$A45</f>
        <v>4.7259180415114427E-2</v>
      </c>
      <c r="H45" s="153">
        <f>H$8*$A45</f>
        <v>9.3666844065992572E-2</v>
      </c>
      <c r="I45" s="213">
        <f>I$8*$A45</f>
        <v>0.65907397551889313</v>
      </c>
      <c r="J45" s="173"/>
      <c r="K45" s="212">
        <f>K$8*$A45</f>
        <v>2.0884699057287889E-2</v>
      </c>
      <c r="L45" s="153">
        <f>L$8*$A45</f>
        <v>8.2958665699782469E-2</v>
      </c>
      <c r="M45" s="213">
        <f>M$8*$A45</f>
        <v>0.6961566352429297</v>
      </c>
      <c r="N45" s="125"/>
      <c r="O45" s="176"/>
      <c r="P45" s="156"/>
      <c r="Q45" s="177"/>
      <c r="R45" s="125"/>
      <c r="S45" s="176"/>
      <c r="T45" s="156"/>
      <c r="U45" s="177"/>
      <c r="V45" s="125"/>
      <c r="W45" s="176"/>
      <c r="X45" s="156"/>
      <c r="Y45" s="177"/>
      <c r="Z45" s="125"/>
      <c r="AA45" s="167"/>
      <c r="AB45" s="168"/>
      <c r="AC45" s="169"/>
      <c r="AE45" s="167"/>
      <c r="AF45" s="168"/>
      <c r="AG45" s="169"/>
      <c r="AI45" s="167"/>
      <c r="AJ45" s="168"/>
      <c r="AK45" s="169"/>
    </row>
    <row r="46" spans="1:37">
      <c r="A46" s="219">
        <v>0.8</v>
      </c>
      <c r="B46" s="7">
        <v>0.05</v>
      </c>
      <c r="C46" s="214">
        <f>C$8*($A45-$B46)</f>
        <v>9.4434306569343068E-2</v>
      </c>
      <c r="D46" s="159">
        <f>D$8*($A45-$B46)</f>
        <v>0.19571167883211676</v>
      </c>
      <c r="E46" s="215">
        <f>E$8*($A45-$B46)</f>
        <v>0.45985401459854014</v>
      </c>
      <c r="F46" s="64"/>
      <c r="G46" s="214">
        <f>G$8*($A45-$B46)</f>
        <v>4.4305481639169766E-2</v>
      </c>
      <c r="H46" s="159">
        <f>H$8*($A45-$B46)</f>
        <v>8.7812666311868029E-2</v>
      </c>
      <c r="I46" s="215">
        <f>I$8*($A45-$B46)</f>
        <v>0.61788185204896229</v>
      </c>
      <c r="K46" s="214">
        <f>K$8*($A45-$B46)</f>
        <v>1.9579405366207395E-2</v>
      </c>
      <c r="L46" s="159">
        <f>L$8*($A45-$B46)</f>
        <v>7.7773749093546063E-2</v>
      </c>
      <c r="M46" s="215">
        <f>M$8*($A45-$B46)</f>
        <v>0.65264684554024655</v>
      </c>
      <c r="O46" s="178">
        <f t="shared" ref="O46:Q49" si="60">(C$45-C46)/$A$45</f>
        <v>7.8695255474452684E-3</v>
      </c>
      <c r="P46" s="160">
        <f t="shared" si="60"/>
        <v>1.6309306569343082E-2</v>
      </c>
      <c r="Q46" s="179">
        <f t="shared" si="60"/>
        <v>3.8321167883211757E-2</v>
      </c>
      <c r="S46" s="178">
        <f t="shared" ref="S46:U49" si="61">(G$45-G46)/$A$45</f>
        <v>3.6921234699308254E-3</v>
      </c>
      <c r="T46" s="160">
        <f t="shared" si="61"/>
        <v>7.3177221926556783E-3</v>
      </c>
      <c r="U46" s="179">
        <f t="shared" si="61"/>
        <v>5.1490154337413552E-2</v>
      </c>
      <c r="W46" s="178">
        <f t="shared" ref="W46:Y49" si="62">(K$45-K46)/$A$45</f>
        <v>1.6316171138506174E-3</v>
      </c>
      <c r="X46" s="160">
        <f t="shared" si="62"/>
        <v>6.4811457577955076E-3</v>
      </c>
      <c r="Y46" s="179">
        <f t="shared" si="62"/>
        <v>5.4387237128353944E-2</v>
      </c>
      <c r="AA46" s="144">
        <f t="shared" ref="AA46:AA49" si="63">O46</f>
        <v>7.8695255474452684E-3</v>
      </c>
      <c r="AB46" s="135">
        <f t="shared" ref="AB46:AB49" si="64">P46</f>
        <v>1.6309306569343082E-2</v>
      </c>
      <c r="AC46" s="145">
        <f t="shared" ref="AC46:AC49" si="65">Q46</f>
        <v>3.8321167883211757E-2</v>
      </c>
      <c r="AE46" s="144">
        <f t="shared" ref="AE46:AG49" si="66">S46</f>
        <v>3.6921234699308254E-3</v>
      </c>
      <c r="AF46" s="135">
        <f t="shared" si="66"/>
        <v>7.3177221926556783E-3</v>
      </c>
      <c r="AG46" s="145">
        <f t="shared" si="66"/>
        <v>5.1490154337413552E-2</v>
      </c>
      <c r="AI46" s="144">
        <f t="shared" ref="AI46:AK49" si="67">W46</f>
        <v>1.6316171138506174E-3</v>
      </c>
      <c r="AJ46" s="135">
        <f t="shared" si="67"/>
        <v>6.4811457577955076E-3</v>
      </c>
      <c r="AK46" s="145">
        <f t="shared" si="67"/>
        <v>5.4387237128353944E-2</v>
      </c>
    </row>
    <row r="47" spans="1:37">
      <c r="A47" s="219">
        <v>0.8</v>
      </c>
      <c r="B47" s="7">
        <v>0.1</v>
      </c>
      <c r="C47" s="214">
        <f>C$8*($A45-$B47)</f>
        <v>8.8138686131386881E-2</v>
      </c>
      <c r="D47" s="159">
        <f>D$8*($A45-$B47)</f>
        <v>0.18266423357664235</v>
      </c>
      <c r="E47" s="215">
        <f>E$8*($A45-$B47)</f>
        <v>0.42919708029197084</v>
      </c>
      <c r="F47" s="64"/>
      <c r="G47" s="214">
        <f>G$8*($A45-$B47)</f>
        <v>4.135178286322512E-2</v>
      </c>
      <c r="H47" s="159">
        <f>H$8*($A45-$B47)</f>
        <v>8.19584885577435E-2</v>
      </c>
      <c r="I47" s="215">
        <f>I$8*($A45-$B47)</f>
        <v>0.57668972857903156</v>
      </c>
      <c r="J47" s="170"/>
      <c r="K47" s="214">
        <f>K$8*($A45-$B47)</f>
        <v>1.8274111675126905E-2</v>
      </c>
      <c r="L47" s="159">
        <f>L$8*($A45-$B47)</f>
        <v>7.2588832487309657E-2</v>
      </c>
      <c r="M47" s="215">
        <f>M$8*($A45-$B47)</f>
        <v>0.6091370558375635</v>
      </c>
      <c r="O47" s="178">
        <f t="shared" si="60"/>
        <v>1.5739051094890502E-2</v>
      </c>
      <c r="P47" s="160">
        <f t="shared" si="60"/>
        <v>3.2618613138686095E-2</v>
      </c>
      <c r="Q47" s="179">
        <f t="shared" si="60"/>
        <v>7.6642335766423375E-2</v>
      </c>
      <c r="S47" s="178">
        <f t="shared" si="61"/>
        <v>7.3842469398616335E-3</v>
      </c>
      <c r="T47" s="160">
        <f t="shared" si="61"/>
        <v>1.4635444385311339E-2</v>
      </c>
      <c r="U47" s="179">
        <f t="shared" si="61"/>
        <v>0.10298030867482696</v>
      </c>
      <c r="W47" s="178">
        <f t="shared" si="62"/>
        <v>3.2632342277012305E-3</v>
      </c>
      <c r="X47" s="160">
        <f t="shared" si="62"/>
        <v>1.2962291515591015E-2</v>
      </c>
      <c r="Y47" s="179">
        <f t="shared" si="62"/>
        <v>0.10877447425670775</v>
      </c>
      <c r="AA47" s="144">
        <f t="shared" si="63"/>
        <v>1.5739051094890502E-2</v>
      </c>
      <c r="AB47" s="135">
        <f t="shared" si="64"/>
        <v>3.2618613138686095E-2</v>
      </c>
      <c r="AC47" s="145">
        <f t="shared" si="65"/>
        <v>7.6642335766423375E-2</v>
      </c>
      <c r="AE47" s="144">
        <f t="shared" si="66"/>
        <v>7.3842469398616335E-3</v>
      </c>
      <c r="AF47" s="135">
        <f t="shared" si="66"/>
        <v>1.4635444385311339E-2</v>
      </c>
      <c r="AG47" s="145">
        <f t="shared" si="66"/>
        <v>0.10298030867482696</v>
      </c>
      <c r="AI47" s="144">
        <f t="shared" si="67"/>
        <v>3.2632342277012305E-3</v>
      </c>
      <c r="AJ47" s="135">
        <f t="shared" si="67"/>
        <v>1.2962291515591015E-2</v>
      </c>
      <c r="AK47" s="145">
        <f t="shared" si="67"/>
        <v>0.10877447425670775</v>
      </c>
    </row>
    <row r="48" spans="1:37">
      <c r="A48" s="219">
        <v>0.8</v>
      </c>
      <c r="B48" s="7">
        <v>0.15</v>
      </c>
      <c r="C48" s="214">
        <f>C$8*($A45-$B48)</f>
        <v>8.1843065693430667E-2</v>
      </c>
      <c r="D48" s="159">
        <f>D$8*($A45-$B48)</f>
        <v>0.16961678832116789</v>
      </c>
      <c r="E48" s="215">
        <f>E$8*($A45-$B48)</f>
        <v>0.39854014598540149</v>
      </c>
      <c r="F48" s="64"/>
      <c r="G48" s="214">
        <f>G$8*($A45-$B48)</f>
        <v>3.8398084087280467E-2</v>
      </c>
      <c r="H48" s="159">
        <f>H$8*($A45-$B48)</f>
        <v>7.6104310803618958E-2</v>
      </c>
      <c r="I48" s="215">
        <f>I$8*($A45-$B48)</f>
        <v>0.53549760510910072</v>
      </c>
      <c r="K48" s="214">
        <f>K$8*($A45-$B48)</f>
        <v>1.6968817984046411E-2</v>
      </c>
      <c r="L48" s="159">
        <f>L$8*($A45-$B48)</f>
        <v>6.7403915881073251E-2</v>
      </c>
      <c r="M48" s="215">
        <f>M$8*($A45-$B48)</f>
        <v>0.56562726613488035</v>
      </c>
      <c r="O48" s="178">
        <f t="shared" si="60"/>
        <v>2.3608576642335771E-2</v>
      </c>
      <c r="P48" s="160">
        <f t="shared" si="60"/>
        <v>4.8927919708029177E-2</v>
      </c>
      <c r="Q48" s="179">
        <f t="shared" si="60"/>
        <v>0.11496350364963506</v>
      </c>
      <c r="S48" s="178">
        <f t="shared" si="61"/>
        <v>1.107637040979245E-2</v>
      </c>
      <c r="T48" s="160">
        <f t="shared" si="61"/>
        <v>2.1953166577967018E-2</v>
      </c>
      <c r="U48" s="179">
        <f t="shared" si="61"/>
        <v>0.15447046301224052</v>
      </c>
      <c r="W48" s="178">
        <f t="shared" si="62"/>
        <v>4.894851341551848E-3</v>
      </c>
      <c r="X48" s="160">
        <f t="shared" si="62"/>
        <v>1.9443437273386523E-2</v>
      </c>
      <c r="Y48" s="179">
        <f t="shared" si="62"/>
        <v>0.16316171138506169</v>
      </c>
      <c r="AA48" s="144">
        <f t="shared" si="63"/>
        <v>2.3608576642335771E-2</v>
      </c>
      <c r="AB48" s="135">
        <f t="shared" si="64"/>
        <v>4.8927919708029177E-2</v>
      </c>
      <c r="AC48" s="145">
        <f t="shared" si="65"/>
        <v>0.11496350364963506</v>
      </c>
      <c r="AE48" s="144">
        <f t="shared" si="66"/>
        <v>1.107637040979245E-2</v>
      </c>
      <c r="AF48" s="135">
        <f t="shared" si="66"/>
        <v>2.1953166577967018E-2</v>
      </c>
      <c r="AG48" s="145">
        <f t="shared" si="66"/>
        <v>0.15447046301224052</v>
      </c>
      <c r="AI48" s="144">
        <f t="shared" si="67"/>
        <v>4.894851341551848E-3</v>
      </c>
      <c r="AJ48" s="135">
        <f t="shared" si="67"/>
        <v>1.9443437273386523E-2</v>
      </c>
      <c r="AK48" s="145">
        <f t="shared" si="67"/>
        <v>0.16316171138506169</v>
      </c>
    </row>
    <row r="49" spans="1:37" ht="15" thickBot="1">
      <c r="A49" s="219">
        <v>0.8</v>
      </c>
      <c r="B49" s="128">
        <v>0.2</v>
      </c>
      <c r="C49" s="216">
        <f>C$8*($A45-$B49)</f>
        <v>7.5547445255474466E-2</v>
      </c>
      <c r="D49" s="161">
        <f>D$8*($A45-$B49)</f>
        <v>0.15656934306569345</v>
      </c>
      <c r="E49" s="217">
        <f>E$8*($A45-$B49)</f>
        <v>0.3678832116788322</v>
      </c>
      <c r="F49" s="87"/>
      <c r="G49" s="216">
        <f>G$8*($A45-$B49)</f>
        <v>3.544438531133582E-2</v>
      </c>
      <c r="H49" s="161">
        <f>H$8*($A45-$B49)</f>
        <v>7.0250133049494429E-2</v>
      </c>
      <c r="I49" s="217">
        <f>I$8*($A45-$B49)</f>
        <v>0.49430548163916993</v>
      </c>
      <c r="J49" s="87"/>
      <c r="K49" s="216">
        <f>K$8*($A45-$B49)</f>
        <v>1.566352429296592E-2</v>
      </c>
      <c r="L49" s="161">
        <f>L$8*($A45-$B49)</f>
        <v>6.2218999274836859E-2</v>
      </c>
      <c r="M49" s="217">
        <f>M$8*($A45-$B49)</f>
        <v>0.5221174764321973</v>
      </c>
      <c r="N49" s="87"/>
      <c r="O49" s="180">
        <f t="shared" si="60"/>
        <v>3.1478102189781018E-2</v>
      </c>
      <c r="P49" s="164">
        <f t="shared" si="60"/>
        <v>6.5237226277372218E-2</v>
      </c>
      <c r="Q49" s="181">
        <f t="shared" si="60"/>
        <v>0.15328467153284667</v>
      </c>
      <c r="R49" s="87"/>
      <c r="S49" s="180">
        <f t="shared" si="61"/>
        <v>1.4768493879723258E-2</v>
      </c>
      <c r="T49" s="164">
        <f t="shared" si="61"/>
        <v>2.9270888770622679E-2</v>
      </c>
      <c r="U49" s="181">
        <f t="shared" si="61"/>
        <v>0.20596061734965398</v>
      </c>
      <c r="V49" s="87"/>
      <c r="W49" s="180">
        <f t="shared" si="62"/>
        <v>6.5264684554024611E-3</v>
      </c>
      <c r="X49" s="164">
        <f t="shared" si="62"/>
        <v>2.5924583031182013E-2</v>
      </c>
      <c r="Y49" s="181">
        <f t="shared" si="62"/>
        <v>0.2175489485134155</v>
      </c>
      <c r="Z49" s="87"/>
      <c r="AA49" s="146">
        <f t="shared" si="63"/>
        <v>3.1478102189781018E-2</v>
      </c>
      <c r="AB49" s="147">
        <f t="shared" si="64"/>
        <v>6.5237226277372218E-2</v>
      </c>
      <c r="AC49" s="148">
        <f t="shared" si="65"/>
        <v>0.15328467153284667</v>
      </c>
      <c r="AE49" s="146">
        <f t="shared" si="66"/>
        <v>1.4768493879723258E-2</v>
      </c>
      <c r="AF49" s="147">
        <f t="shared" si="66"/>
        <v>2.9270888770622679E-2</v>
      </c>
      <c r="AG49" s="148">
        <f t="shared" si="66"/>
        <v>0.20596061734965398</v>
      </c>
      <c r="AI49" s="146">
        <f t="shared" si="67"/>
        <v>6.5264684554024611E-3</v>
      </c>
      <c r="AJ49" s="147">
        <f t="shared" si="67"/>
        <v>2.5924583031182013E-2</v>
      </c>
      <c r="AK49" s="148">
        <f t="shared" si="67"/>
        <v>0.2175489485134155</v>
      </c>
    </row>
    <row r="50" spans="1:37">
      <c r="A50" s="218">
        <v>0.9</v>
      </c>
      <c r="B50" s="123">
        <v>0</v>
      </c>
      <c r="C50" s="212">
        <f>C$8*$A50</f>
        <v>0.1133211678832117</v>
      </c>
      <c r="D50" s="153">
        <f>D$8*$A50</f>
        <v>0.23485401459854013</v>
      </c>
      <c r="E50" s="213">
        <f>E$8*$A50</f>
        <v>0.55182481751824819</v>
      </c>
      <c r="F50" s="125"/>
      <c r="G50" s="212">
        <f>G$8*$A50</f>
        <v>5.3166577967003727E-2</v>
      </c>
      <c r="H50" s="153">
        <f>H$8*$A50</f>
        <v>0.10537519957424163</v>
      </c>
      <c r="I50" s="213">
        <f>I$8*$A50</f>
        <v>0.74145822245875481</v>
      </c>
      <c r="J50" s="125"/>
      <c r="K50" s="212">
        <f>K$8*$A50</f>
        <v>2.3495286439448877E-2</v>
      </c>
      <c r="L50" s="153">
        <f>L$8*$A50</f>
        <v>9.3328498912255267E-2</v>
      </c>
      <c r="M50" s="213">
        <f>M$8*$A50</f>
        <v>0.7831762146482959</v>
      </c>
      <c r="N50" s="125"/>
      <c r="O50" s="176"/>
      <c r="P50" s="156"/>
      <c r="Q50" s="177"/>
      <c r="R50" s="125"/>
      <c r="S50" s="176"/>
      <c r="T50" s="156"/>
      <c r="U50" s="177"/>
      <c r="V50" s="125"/>
      <c r="W50" s="176"/>
      <c r="X50" s="156"/>
      <c r="Y50" s="177"/>
      <c r="Z50" s="125"/>
      <c r="AA50" s="167"/>
      <c r="AB50" s="168"/>
      <c r="AC50" s="169"/>
      <c r="AE50" s="167"/>
      <c r="AF50" s="168"/>
      <c r="AG50" s="169"/>
      <c r="AI50" s="167"/>
      <c r="AJ50" s="168"/>
      <c r="AK50" s="169"/>
    </row>
    <row r="51" spans="1:37">
      <c r="A51" s="219">
        <v>0.9</v>
      </c>
      <c r="B51" s="7">
        <v>0.05</v>
      </c>
      <c r="C51" s="214">
        <f>C$8*($A50-$B51)</f>
        <v>0.10702554744525548</v>
      </c>
      <c r="D51" s="159">
        <f>D$8*($A50-$B51)</f>
        <v>0.22180656934306567</v>
      </c>
      <c r="E51" s="215">
        <f>E$8*($A50-$B51)</f>
        <v>0.52116788321167884</v>
      </c>
      <c r="G51" s="214">
        <f>G$8*($A50-$B51)</f>
        <v>5.0212879191059073E-2</v>
      </c>
      <c r="H51" s="159">
        <f>H$8*($A50-$B51)</f>
        <v>9.9521021820117087E-2</v>
      </c>
      <c r="I51" s="215">
        <f>I$8*($A50-$B51)</f>
        <v>0.70026609898882386</v>
      </c>
      <c r="K51" s="214">
        <f>K$8*($A50-$B51)</f>
        <v>2.2189992748368383E-2</v>
      </c>
      <c r="L51" s="159">
        <f>L$8*($A50-$B51)</f>
        <v>8.8143582306018861E-2</v>
      </c>
      <c r="M51" s="215">
        <f>M$8*($A50-$B51)</f>
        <v>0.73966642494561274</v>
      </c>
      <c r="O51" s="178">
        <f t="shared" ref="O51:Q54" si="68">(C$50-C51)/$A$50</f>
        <v>6.9951338199513496E-3</v>
      </c>
      <c r="P51" s="160">
        <f t="shared" si="68"/>
        <v>1.4497161394971628E-2</v>
      </c>
      <c r="Q51" s="179">
        <f t="shared" si="68"/>
        <v>3.406326034063261E-2</v>
      </c>
      <c r="S51" s="178">
        <f t="shared" ref="S51:U54" si="69">(G$50-G51)/$A$50</f>
        <v>3.2818875288273927E-3</v>
      </c>
      <c r="T51" s="160">
        <f t="shared" si="69"/>
        <v>6.5046419490272693E-3</v>
      </c>
      <c r="U51" s="179">
        <f t="shared" si="69"/>
        <v>4.5769026077701058E-2</v>
      </c>
      <c r="W51" s="178">
        <f t="shared" ref="W51:Y54" si="70">(K$50-K51)/$A$50</f>
        <v>1.450326323422771E-3</v>
      </c>
      <c r="X51" s="160">
        <f t="shared" si="70"/>
        <v>5.7610184513737844E-3</v>
      </c>
      <c r="Y51" s="179">
        <f t="shared" si="70"/>
        <v>4.834421078075906E-2</v>
      </c>
      <c r="AA51" s="144">
        <f t="shared" ref="AA51:AA54" si="71">O51</f>
        <v>6.9951338199513496E-3</v>
      </c>
      <c r="AB51" s="135">
        <f t="shared" ref="AB51:AB54" si="72">P51</f>
        <v>1.4497161394971628E-2</v>
      </c>
      <c r="AC51" s="145">
        <f t="shared" ref="AC51:AC54" si="73">Q51</f>
        <v>3.406326034063261E-2</v>
      </c>
      <c r="AE51" s="144">
        <f t="shared" ref="AE51:AG54" si="74">S51</f>
        <v>3.2818875288273927E-3</v>
      </c>
      <c r="AF51" s="135">
        <f t="shared" si="74"/>
        <v>6.5046419490272693E-3</v>
      </c>
      <c r="AG51" s="145">
        <f t="shared" si="74"/>
        <v>4.5769026077701058E-2</v>
      </c>
      <c r="AI51" s="144">
        <f t="shared" ref="AI51:AK54" si="75">W51</f>
        <v>1.450326323422771E-3</v>
      </c>
      <c r="AJ51" s="135">
        <f t="shared" si="75"/>
        <v>5.7610184513737844E-3</v>
      </c>
      <c r="AK51" s="145">
        <f t="shared" si="75"/>
        <v>4.834421078075906E-2</v>
      </c>
    </row>
    <row r="52" spans="1:37">
      <c r="A52" s="219">
        <v>0.9</v>
      </c>
      <c r="B52" s="7">
        <v>0.1</v>
      </c>
      <c r="C52" s="214">
        <f>C$8*($A50-$B52)</f>
        <v>0.10072992700729928</v>
      </c>
      <c r="D52" s="159">
        <f>D$8*($A50-$B52)</f>
        <v>0.20875912408759123</v>
      </c>
      <c r="E52" s="215">
        <f>E$8*($A50-$B52)</f>
        <v>0.49051094890510955</v>
      </c>
      <c r="G52" s="214">
        <f>G$8*($A50-$B52)</f>
        <v>4.7259180415114427E-2</v>
      </c>
      <c r="H52" s="159">
        <f>H$8*($A50-$B52)</f>
        <v>9.3666844065992572E-2</v>
      </c>
      <c r="I52" s="215">
        <f>I$8*($A50-$B52)</f>
        <v>0.65907397551889313</v>
      </c>
      <c r="K52" s="214">
        <f>K$8*($A50-$B52)</f>
        <v>2.0884699057287889E-2</v>
      </c>
      <c r="L52" s="159">
        <f>L$8*($A50-$B52)</f>
        <v>8.2958665699782469E-2</v>
      </c>
      <c r="M52" s="215">
        <f>M$8*($A50-$B52)</f>
        <v>0.6961566352429297</v>
      </c>
      <c r="O52" s="178">
        <f t="shared" si="68"/>
        <v>1.3990267639902684E-2</v>
      </c>
      <c r="P52" s="160">
        <f t="shared" si="68"/>
        <v>2.8994322789943225E-2</v>
      </c>
      <c r="Q52" s="179">
        <f t="shared" si="68"/>
        <v>6.8126520681265165E-2</v>
      </c>
      <c r="S52" s="178">
        <f t="shared" si="69"/>
        <v>6.5637750576547776E-3</v>
      </c>
      <c r="T52" s="160">
        <f t="shared" si="69"/>
        <v>1.3009283898054507E-2</v>
      </c>
      <c r="U52" s="179">
        <f t="shared" si="69"/>
        <v>9.1538052155401867E-2</v>
      </c>
      <c r="W52" s="178">
        <f t="shared" si="70"/>
        <v>2.9006526468455421E-3</v>
      </c>
      <c r="X52" s="160">
        <f t="shared" si="70"/>
        <v>1.1522036902747553E-2</v>
      </c>
      <c r="Y52" s="179">
        <f t="shared" si="70"/>
        <v>9.6688421561517995E-2</v>
      </c>
      <c r="AA52" s="144">
        <f t="shared" si="71"/>
        <v>1.3990267639902684E-2</v>
      </c>
      <c r="AB52" s="135">
        <f t="shared" si="72"/>
        <v>2.8994322789943225E-2</v>
      </c>
      <c r="AC52" s="145">
        <f t="shared" si="73"/>
        <v>6.8126520681265165E-2</v>
      </c>
      <c r="AE52" s="144">
        <f t="shared" si="74"/>
        <v>6.5637750576547776E-3</v>
      </c>
      <c r="AF52" s="135">
        <f t="shared" si="74"/>
        <v>1.3009283898054507E-2</v>
      </c>
      <c r="AG52" s="145">
        <f t="shared" si="74"/>
        <v>9.1538052155401867E-2</v>
      </c>
      <c r="AI52" s="144">
        <f t="shared" si="75"/>
        <v>2.9006526468455421E-3</v>
      </c>
      <c r="AJ52" s="135">
        <f t="shared" si="75"/>
        <v>1.1522036902747553E-2</v>
      </c>
      <c r="AK52" s="145">
        <f t="shared" si="75"/>
        <v>9.6688421561517995E-2</v>
      </c>
    </row>
    <row r="53" spans="1:37">
      <c r="A53" s="219">
        <v>0.9</v>
      </c>
      <c r="B53" s="7">
        <v>0.15</v>
      </c>
      <c r="C53" s="214">
        <f>C$8*($A50-$B53)</f>
        <v>9.4434306569343068E-2</v>
      </c>
      <c r="D53" s="159">
        <f>D$8*($A50-$B53)</f>
        <v>0.19571167883211676</v>
      </c>
      <c r="E53" s="215">
        <f>E$8*($A50-$B53)</f>
        <v>0.45985401459854014</v>
      </c>
      <c r="G53" s="214">
        <f>G$8*($A50-$B53)</f>
        <v>4.4305481639169766E-2</v>
      </c>
      <c r="H53" s="159">
        <f>H$8*($A50-$B53)</f>
        <v>8.7812666311868029E-2</v>
      </c>
      <c r="I53" s="215">
        <f>I$8*($A50-$B53)</f>
        <v>0.61788185204896229</v>
      </c>
      <c r="K53" s="214">
        <f>K$8*($A50-$B53)</f>
        <v>1.9579405366207395E-2</v>
      </c>
      <c r="L53" s="159">
        <f>L$8*($A50-$B53)</f>
        <v>7.7773749093546063E-2</v>
      </c>
      <c r="M53" s="215">
        <f>M$8*($A50-$B53)</f>
        <v>0.65264684554024655</v>
      </c>
      <c r="O53" s="178">
        <f t="shared" si="68"/>
        <v>2.0985401459854034E-2</v>
      </c>
      <c r="P53" s="160">
        <f t="shared" si="68"/>
        <v>4.3491484184914851E-2</v>
      </c>
      <c r="Q53" s="179">
        <f t="shared" si="68"/>
        <v>0.10218978102189782</v>
      </c>
      <c r="S53" s="178">
        <f t="shared" si="69"/>
        <v>9.8456625864821786E-3</v>
      </c>
      <c r="T53" s="160">
        <f t="shared" si="69"/>
        <v>1.9513925847081778E-2</v>
      </c>
      <c r="U53" s="179">
        <f t="shared" si="69"/>
        <v>0.13730707823310281</v>
      </c>
      <c r="W53" s="178">
        <f t="shared" si="70"/>
        <v>4.3509789702683129E-3</v>
      </c>
      <c r="X53" s="160">
        <f t="shared" si="70"/>
        <v>1.7283055354121338E-2</v>
      </c>
      <c r="Y53" s="179">
        <f t="shared" si="70"/>
        <v>0.14503263234227706</v>
      </c>
      <c r="AA53" s="144">
        <f t="shared" si="71"/>
        <v>2.0985401459854034E-2</v>
      </c>
      <c r="AB53" s="135">
        <f t="shared" si="72"/>
        <v>4.3491484184914851E-2</v>
      </c>
      <c r="AC53" s="145">
        <f t="shared" si="73"/>
        <v>0.10218978102189782</v>
      </c>
      <c r="AE53" s="144">
        <f t="shared" si="74"/>
        <v>9.8456625864821786E-3</v>
      </c>
      <c r="AF53" s="135">
        <f t="shared" si="74"/>
        <v>1.9513925847081778E-2</v>
      </c>
      <c r="AG53" s="145">
        <f t="shared" si="74"/>
        <v>0.13730707823310281</v>
      </c>
      <c r="AI53" s="144">
        <f t="shared" si="75"/>
        <v>4.3509789702683129E-3</v>
      </c>
      <c r="AJ53" s="135">
        <f t="shared" si="75"/>
        <v>1.7283055354121338E-2</v>
      </c>
      <c r="AK53" s="145">
        <f t="shared" si="75"/>
        <v>0.14503263234227706</v>
      </c>
    </row>
    <row r="54" spans="1:37" ht="15" thickBot="1">
      <c r="A54" s="219">
        <v>0.9</v>
      </c>
      <c r="B54" s="128">
        <v>0.2</v>
      </c>
      <c r="C54" s="216">
        <f>C$8*($A50-$B54)</f>
        <v>8.8138686131386867E-2</v>
      </c>
      <c r="D54" s="161">
        <f>D$8*($A50-$B54)</f>
        <v>0.18266423357664233</v>
      </c>
      <c r="E54" s="217">
        <f>E$8*($A50-$B54)</f>
        <v>0.42919708029197079</v>
      </c>
      <c r="F54" s="87"/>
      <c r="G54" s="216">
        <f>G$8*($A50-$B54)</f>
        <v>4.1351782863225113E-2</v>
      </c>
      <c r="H54" s="161">
        <f>H$8*($A50-$B54)</f>
        <v>8.1958488557743486E-2</v>
      </c>
      <c r="I54" s="217">
        <f>I$8*($A50-$B54)</f>
        <v>0.57668972857903145</v>
      </c>
      <c r="J54" s="87"/>
      <c r="K54" s="216">
        <f>K$8*($A50-$B54)</f>
        <v>1.8274111675126901E-2</v>
      </c>
      <c r="L54" s="161">
        <f>L$8*($A50-$B54)</f>
        <v>7.2588832487309657E-2</v>
      </c>
      <c r="M54" s="217">
        <f>M$8*($A50-$B54)</f>
        <v>0.60913705583756339</v>
      </c>
      <c r="N54" s="87"/>
      <c r="O54" s="180">
        <f t="shared" si="68"/>
        <v>2.7980535279805367E-2</v>
      </c>
      <c r="P54" s="164">
        <f t="shared" si="68"/>
        <v>5.798864557988645E-2</v>
      </c>
      <c r="Q54" s="181">
        <f t="shared" si="68"/>
        <v>0.13625304136253044</v>
      </c>
      <c r="R54" s="87"/>
      <c r="S54" s="180">
        <f t="shared" si="69"/>
        <v>1.3127550115309571E-2</v>
      </c>
      <c r="T54" s="164">
        <f t="shared" si="69"/>
        <v>2.6018567796109046E-2</v>
      </c>
      <c r="U54" s="181">
        <f t="shared" si="69"/>
        <v>0.18307610431080373</v>
      </c>
      <c r="V54" s="87"/>
      <c r="W54" s="180">
        <f t="shared" si="70"/>
        <v>5.8013052936910841E-3</v>
      </c>
      <c r="X54" s="164">
        <f t="shared" si="70"/>
        <v>2.3044073805495124E-2</v>
      </c>
      <c r="Y54" s="181">
        <f t="shared" si="70"/>
        <v>0.1933768431230361</v>
      </c>
      <c r="Z54" s="87"/>
      <c r="AA54" s="146">
        <f t="shared" si="71"/>
        <v>2.7980535279805367E-2</v>
      </c>
      <c r="AB54" s="147">
        <f t="shared" si="72"/>
        <v>5.798864557988645E-2</v>
      </c>
      <c r="AC54" s="148">
        <f t="shared" si="73"/>
        <v>0.13625304136253044</v>
      </c>
      <c r="AE54" s="146">
        <f t="shared" si="74"/>
        <v>1.3127550115309571E-2</v>
      </c>
      <c r="AF54" s="147">
        <f t="shared" si="74"/>
        <v>2.6018567796109046E-2</v>
      </c>
      <c r="AG54" s="148">
        <f t="shared" si="74"/>
        <v>0.18307610431080373</v>
      </c>
      <c r="AI54" s="146">
        <f t="shared" si="75"/>
        <v>5.8013052936910841E-3</v>
      </c>
      <c r="AJ54" s="147">
        <f t="shared" si="75"/>
        <v>2.3044073805495124E-2</v>
      </c>
      <c r="AK54" s="148">
        <f t="shared" si="75"/>
        <v>0.1933768431230361</v>
      </c>
    </row>
    <row r="55" spans="1:37">
      <c r="A55" s="3"/>
      <c r="B55" s="7"/>
      <c r="C55" s="8"/>
      <c r="D55" s="8"/>
    </row>
    <row r="56" spans="1:37">
      <c r="B56" s="7"/>
      <c r="C56" s="8"/>
      <c r="D56" s="8"/>
    </row>
    <row r="57" spans="1:37">
      <c r="B57" s="7"/>
      <c r="C57" s="8"/>
      <c r="D57" s="8"/>
    </row>
  </sheetData>
  <mergeCells count="29">
    <mergeCell ref="AI1:AK1"/>
    <mergeCell ref="AI2:AK3"/>
    <mergeCell ref="AI5:AK5"/>
    <mergeCell ref="AI9:AK9"/>
    <mergeCell ref="AI4:AK4"/>
    <mergeCell ref="AE5:AG5"/>
    <mergeCell ref="AE4:AG4"/>
    <mergeCell ref="AE1:AG1"/>
    <mergeCell ref="AE2:AG3"/>
    <mergeCell ref="AE9:AG9"/>
    <mergeCell ref="AA9:AC9"/>
    <mergeCell ref="AA4:AC4"/>
    <mergeCell ref="C9:E9"/>
    <mergeCell ref="G9:I9"/>
    <mergeCell ref="K9:M9"/>
    <mergeCell ref="O9:Q9"/>
    <mergeCell ref="AA1:AC1"/>
    <mergeCell ref="S7:U7"/>
    <mergeCell ref="K1:M1"/>
    <mergeCell ref="O2:Q2"/>
    <mergeCell ref="C2:M2"/>
    <mergeCell ref="AA2:AC3"/>
    <mergeCell ref="AA5:AC5"/>
    <mergeCell ref="W7:Y7"/>
    <mergeCell ref="B1:G1"/>
    <mergeCell ref="C3:E3"/>
    <mergeCell ref="G3:I3"/>
    <mergeCell ref="K3:M3"/>
    <mergeCell ref="O7:Q7"/>
  </mergeCells>
  <pageMargins left="0.7" right="0.7" top="0.75" bottom="0.75" header="0.3" footer="0.3"/>
  <pageSetup paperSize="9"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CO69"/>
  <sheetViews>
    <sheetView zoomScale="55" zoomScaleNormal="55" workbookViewId="0">
      <selection activeCell="F5" sqref="F5:L5"/>
    </sheetView>
  </sheetViews>
  <sheetFormatPr defaultRowHeight="14.5"/>
  <cols>
    <col min="1" max="1" width="18" customWidth="1"/>
    <col min="2" max="2" width="12.90625" customWidth="1"/>
    <col min="3" max="3" width="18.81640625" customWidth="1"/>
    <col min="4" max="4" width="16.08984375" customWidth="1"/>
    <col min="5" max="5" width="10.54296875" customWidth="1"/>
    <col min="6" max="33" width="6.6328125" customWidth="1"/>
    <col min="34" max="35" width="8.7265625" customWidth="1"/>
  </cols>
  <sheetData>
    <row r="1" spans="1:93" ht="54.5" customHeight="1">
      <c r="A1" s="798" t="s">
        <v>156</v>
      </c>
      <c r="B1" s="586"/>
      <c r="C1" s="586"/>
      <c r="D1" s="586"/>
      <c r="E1" s="586"/>
      <c r="F1" s="710"/>
      <c r="G1" s="710"/>
      <c r="H1" s="710"/>
      <c r="I1" s="710"/>
      <c r="J1" s="9"/>
      <c r="K1" s="9"/>
      <c r="L1" s="9"/>
      <c r="N1" s="6"/>
      <c r="AJ1" s="799"/>
      <c r="AK1" s="800"/>
      <c r="AL1" s="800"/>
      <c r="AM1" s="800"/>
      <c r="AN1" s="800"/>
      <c r="AO1" s="800"/>
      <c r="AP1" s="800"/>
      <c r="AQ1" s="800"/>
      <c r="AR1" s="800"/>
      <c r="AS1" s="800"/>
      <c r="AT1" s="800"/>
      <c r="AU1" s="800"/>
      <c r="AV1" s="800"/>
      <c r="AW1" s="800"/>
      <c r="AX1" s="800"/>
      <c r="AY1" s="800"/>
      <c r="AZ1" s="800"/>
      <c r="BA1" s="800"/>
      <c r="BB1" s="800"/>
      <c r="BC1" s="800"/>
      <c r="BD1" s="800"/>
      <c r="BE1" s="800"/>
      <c r="BF1" s="800"/>
      <c r="BG1" s="800"/>
      <c r="BH1" s="800"/>
      <c r="BI1" s="800"/>
      <c r="BJ1" s="800"/>
      <c r="BK1" s="801"/>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row>
    <row r="2" spans="1:93" ht="29" customHeight="1" thickBot="1">
      <c r="A2" s="103"/>
      <c r="B2" s="103"/>
      <c r="C2" s="103"/>
      <c r="D2" s="103"/>
      <c r="E2" s="103"/>
      <c r="F2" s="9"/>
      <c r="G2" s="9"/>
      <c r="H2" s="9"/>
      <c r="I2" s="9"/>
      <c r="J2" s="9"/>
      <c r="K2" s="9"/>
      <c r="L2" s="9"/>
      <c r="N2" s="6"/>
      <c r="AJ2" s="784" t="s">
        <v>83</v>
      </c>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785"/>
      <c r="BK2" s="786"/>
      <c r="BN2" s="242"/>
      <c r="BO2" s="242"/>
      <c r="BP2" s="242"/>
      <c r="BQ2" s="242"/>
      <c r="BR2" s="242"/>
      <c r="BS2" s="242"/>
      <c r="BT2" s="242"/>
      <c r="BU2" s="242"/>
      <c r="BV2" s="242"/>
      <c r="BW2" s="242"/>
      <c r="BX2" s="242"/>
      <c r="BY2" s="241"/>
    </row>
    <row r="3" spans="1:93" ht="26.5" customHeight="1" thickBot="1">
      <c r="F3" s="805" t="s">
        <v>80</v>
      </c>
      <c r="G3" s="806"/>
      <c r="H3" s="806"/>
      <c r="I3" s="806"/>
      <c r="J3" s="806"/>
      <c r="K3" s="806"/>
      <c r="L3" s="806"/>
      <c r="M3" s="806"/>
      <c r="N3" s="806"/>
      <c r="O3" s="806"/>
      <c r="P3" s="806"/>
      <c r="Q3" s="806"/>
      <c r="R3" s="806"/>
      <c r="S3" s="806"/>
      <c r="T3" s="806"/>
      <c r="U3" s="806"/>
      <c r="V3" s="806"/>
      <c r="W3" s="806"/>
      <c r="X3" s="806"/>
      <c r="Y3" s="806"/>
      <c r="Z3" s="806"/>
      <c r="AA3" s="806"/>
      <c r="AB3" s="806"/>
      <c r="AC3" s="806"/>
      <c r="AD3" s="806"/>
      <c r="AE3" s="806"/>
      <c r="AF3" s="806"/>
      <c r="AG3" s="807"/>
      <c r="AJ3" s="808" t="s">
        <v>85</v>
      </c>
      <c r="AK3" s="809"/>
      <c r="AL3" s="809"/>
      <c r="AM3" s="809"/>
      <c r="AN3" s="809"/>
      <c r="AO3" s="809"/>
      <c r="AP3" s="809"/>
      <c r="AQ3" s="809"/>
      <c r="AR3" s="809"/>
      <c r="AS3" s="809"/>
      <c r="AT3" s="809"/>
      <c r="AU3" s="809"/>
      <c r="AV3" s="809"/>
      <c r="AW3" s="809"/>
      <c r="AX3" s="809"/>
      <c r="AY3" s="809"/>
      <c r="AZ3" s="809"/>
      <c r="BA3" s="809"/>
      <c r="BB3" s="809"/>
      <c r="BC3" s="809"/>
      <c r="BD3" s="809"/>
      <c r="BE3" s="809"/>
      <c r="BF3" s="809"/>
      <c r="BG3" s="809"/>
      <c r="BH3" s="809"/>
      <c r="BI3" s="809"/>
      <c r="BJ3" s="809"/>
      <c r="BK3" s="810"/>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row>
    <row r="4" spans="1:93" ht="16.5" customHeight="1">
      <c r="A4" s="813" t="s">
        <v>73</v>
      </c>
      <c r="C4" s="795" t="s">
        <v>79</v>
      </c>
      <c r="D4" s="811" t="s">
        <v>78</v>
      </c>
      <c r="E4" s="6"/>
      <c r="F4" s="812" t="s">
        <v>72</v>
      </c>
      <c r="G4" s="803"/>
      <c r="H4" s="803"/>
      <c r="I4" s="803"/>
      <c r="J4" s="803"/>
      <c r="K4" s="803"/>
      <c r="L4" s="803"/>
      <c r="M4" s="802">
        <v>0.1</v>
      </c>
      <c r="N4" s="803"/>
      <c r="O4" s="803"/>
      <c r="P4" s="803"/>
      <c r="Q4" s="803"/>
      <c r="R4" s="803"/>
      <c r="S4" s="803"/>
      <c r="T4" s="802">
        <v>0.2</v>
      </c>
      <c r="U4" s="803"/>
      <c r="V4" s="803"/>
      <c r="W4" s="803"/>
      <c r="X4" s="803"/>
      <c r="Y4" s="803"/>
      <c r="Z4" s="803"/>
      <c r="AA4" s="802">
        <v>0.3</v>
      </c>
      <c r="AB4" s="803"/>
      <c r="AC4" s="803"/>
      <c r="AD4" s="803"/>
      <c r="AE4" s="803"/>
      <c r="AF4" s="803"/>
      <c r="AG4" s="804"/>
      <c r="AJ4" s="812" t="s">
        <v>72</v>
      </c>
      <c r="AK4" s="803"/>
      <c r="AL4" s="803"/>
      <c r="AM4" s="803"/>
      <c r="AN4" s="803"/>
      <c r="AO4" s="803"/>
      <c r="AP4" s="803"/>
      <c r="AQ4" s="802">
        <v>0.1</v>
      </c>
      <c r="AR4" s="803"/>
      <c r="AS4" s="803"/>
      <c r="AT4" s="803"/>
      <c r="AU4" s="803"/>
      <c r="AV4" s="803"/>
      <c r="AW4" s="803"/>
      <c r="AX4" s="802">
        <v>0.2</v>
      </c>
      <c r="AY4" s="803"/>
      <c r="AZ4" s="803"/>
      <c r="BA4" s="803"/>
      <c r="BB4" s="803"/>
      <c r="BC4" s="803"/>
      <c r="BD4" s="803"/>
      <c r="BE4" s="802">
        <v>0.3</v>
      </c>
      <c r="BF4" s="803"/>
      <c r="BG4" s="803"/>
      <c r="BH4" s="803"/>
      <c r="BI4" s="803"/>
      <c r="BJ4" s="803"/>
      <c r="BK4" s="804"/>
      <c r="BN4" s="3"/>
      <c r="BU4" s="3"/>
      <c r="CB4" s="3"/>
      <c r="CI4" s="3"/>
    </row>
    <row r="5" spans="1:93" ht="21" customHeight="1" thickBot="1">
      <c r="A5" s="814"/>
      <c r="C5" s="796"/>
      <c r="D5" s="811"/>
      <c r="E5" s="4"/>
      <c r="F5" s="790">
        <f>IF('Configuration Settings'!H7&gt;0,'Configuration Settings'!H7,'Configuration Settings'!J7)</f>
        <v>138</v>
      </c>
      <c r="G5" s="787"/>
      <c r="H5" s="787"/>
      <c r="I5" s="787"/>
      <c r="J5" s="787"/>
      <c r="K5" s="787"/>
      <c r="L5" s="787"/>
      <c r="M5" s="787">
        <f>F$5*(1-M4)</f>
        <v>124.2</v>
      </c>
      <c r="N5" s="787"/>
      <c r="O5" s="787"/>
      <c r="P5" s="787"/>
      <c r="Q5" s="787"/>
      <c r="R5" s="787"/>
      <c r="S5" s="787"/>
      <c r="T5" s="787">
        <f>F$5*(1-T4)</f>
        <v>110.4</v>
      </c>
      <c r="U5" s="787"/>
      <c r="V5" s="787"/>
      <c r="W5" s="787"/>
      <c r="X5" s="787"/>
      <c r="Y5" s="787"/>
      <c r="Z5" s="787"/>
      <c r="AA5" s="787">
        <f>F$5*(1-AA4)</f>
        <v>96.6</v>
      </c>
      <c r="AB5" s="787"/>
      <c r="AC5" s="787"/>
      <c r="AD5" s="787"/>
      <c r="AE5" s="787"/>
      <c r="AF5" s="787"/>
      <c r="AG5" s="788"/>
      <c r="AJ5" s="790">
        <f>F5</f>
        <v>138</v>
      </c>
      <c r="AK5" s="787"/>
      <c r="AL5" s="787"/>
      <c r="AM5" s="787"/>
      <c r="AN5" s="787"/>
      <c r="AO5" s="787"/>
      <c r="AP5" s="787"/>
      <c r="AQ5" s="787">
        <f>AJ$5*(1-AQ4)</f>
        <v>124.2</v>
      </c>
      <c r="AR5" s="787"/>
      <c r="AS5" s="787"/>
      <c r="AT5" s="787"/>
      <c r="AU5" s="787"/>
      <c r="AV5" s="787"/>
      <c r="AW5" s="787"/>
      <c r="AX5" s="787">
        <f>AJ$5*(1-AX4)</f>
        <v>110.4</v>
      </c>
      <c r="AY5" s="787"/>
      <c r="AZ5" s="787"/>
      <c r="BA5" s="787"/>
      <c r="BB5" s="787"/>
      <c r="BC5" s="787"/>
      <c r="BD5" s="787"/>
      <c r="BE5" s="787">
        <f>AJ$5*(1-BE4)</f>
        <v>96.6</v>
      </c>
      <c r="BF5" s="787"/>
      <c r="BG5" s="787"/>
      <c r="BH5" s="787"/>
      <c r="BI5" s="787"/>
      <c r="BJ5" s="787"/>
      <c r="BK5" s="788"/>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row>
    <row r="6" spans="1:93" ht="22.5" customHeight="1">
      <c r="A6" s="814"/>
      <c r="B6" s="791"/>
      <c r="C6" s="796"/>
      <c r="D6" s="811"/>
      <c r="F6" s="792" t="s">
        <v>71</v>
      </c>
      <c r="G6" s="793"/>
      <c r="H6" s="793"/>
      <c r="I6" s="793"/>
      <c r="J6" s="793"/>
      <c r="K6" s="793"/>
      <c r="L6" s="794"/>
      <c r="M6" s="792" t="s">
        <v>71</v>
      </c>
      <c r="N6" s="793"/>
      <c r="O6" s="793"/>
      <c r="P6" s="793"/>
      <c r="Q6" s="793"/>
      <c r="R6" s="793"/>
      <c r="S6" s="794"/>
      <c r="T6" s="792" t="s">
        <v>71</v>
      </c>
      <c r="U6" s="793"/>
      <c r="V6" s="793"/>
      <c r="W6" s="793"/>
      <c r="X6" s="793"/>
      <c r="Y6" s="793"/>
      <c r="Z6" s="794"/>
      <c r="AA6" s="792" t="s">
        <v>71</v>
      </c>
      <c r="AB6" s="793"/>
      <c r="AC6" s="793"/>
      <c r="AD6" s="793"/>
      <c r="AE6" s="793"/>
      <c r="AF6" s="793"/>
      <c r="AG6" s="794"/>
      <c r="AJ6" s="816" t="s">
        <v>71</v>
      </c>
      <c r="AK6" s="817"/>
      <c r="AL6" s="817"/>
      <c r="AM6" s="817"/>
      <c r="AN6" s="817"/>
      <c r="AO6" s="817"/>
      <c r="AP6" s="818"/>
      <c r="AQ6" s="816" t="s">
        <v>71</v>
      </c>
      <c r="AR6" s="817"/>
      <c r="AS6" s="817"/>
      <c r="AT6" s="817"/>
      <c r="AU6" s="817"/>
      <c r="AV6" s="817"/>
      <c r="AW6" s="818"/>
      <c r="AX6" s="816" t="s">
        <v>71</v>
      </c>
      <c r="AY6" s="817"/>
      <c r="AZ6" s="817"/>
      <c r="BA6" s="817"/>
      <c r="BB6" s="817"/>
      <c r="BC6" s="817"/>
      <c r="BD6" s="818"/>
      <c r="BE6" s="816" t="s">
        <v>71</v>
      </c>
      <c r="BF6" s="817"/>
      <c r="BG6" s="817"/>
      <c r="BH6" s="817"/>
      <c r="BI6" s="817"/>
      <c r="BJ6" s="817"/>
      <c r="BK6" s="818"/>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row>
    <row r="7" spans="1:93" ht="19" customHeight="1" thickBot="1">
      <c r="A7" s="814"/>
      <c r="B7" s="791"/>
      <c r="C7" s="796"/>
      <c r="D7" s="811"/>
      <c r="E7" s="4"/>
      <c r="F7" s="84">
        <v>0</v>
      </c>
      <c r="G7" s="4">
        <v>0.1</v>
      </c>
      <c r="H7" s="3">
        <v>0.2</v>
      </c>
      <c r="I7" s="3">
        <v>0.4</v>
      </c>
      <c r="J7" s="3">
        <v>0.6</v>
      </c>
      <c r="K7" s="3">
        <v>0.8</v>
      </c>
      <c r="L7" s="85">
        <v>1</v>
      </c>
      <c r="M7" s="84">
        <v>0</v>
      </c>
      <c r="N7" s="4">
        <v>0.1</v>
      </c>
      <c r="O7" s="3">
        <v>0.2</v>
      </c>
      <c r="P7" s="3">
        <v>0.4</v>
      </c>
      <c r="Q7" s="3">
        <v>0.6</v>
      </c>
      <c r="R7" s="3">
        <v>0.8</v>
      </c>
      <c r="S7" s="85">
        <v>1</v>
      </c>
      <c r="T7" s="84">
        <v>0</v>
      </c>
      <c r="U7" s="4">
        <v>0.1</v>
      </c>
      <c r="V7" s="3">
        <v>0.2</v>
      </c>
      <c r="W7" s="3">
        <v>0.4</v>
      </c>
      <c r="X7" s="3">
        <v>0.6</v>
      </c>
      <c r="Y7" s="3">
        <v>0.8</v>
      </c>
      <c r="Z7" s="85">
        <v>1</v>
      </c>
      <c r="AA7" s="84">
        <v>0</v>
      </c>
      <c r="AB7" s="4">
        <v>0.1</v>
      </c>
      <c r="AC7" s="3">
        <v>0.2</v>
      </c>
      <c r="AD7" s="3">
        <v>0.4</v>
      </c>
      <c r="AE7" s="3">
        <v>0.6</v>
      </c>
      <c r="AF7" s="3">
        <v>0.8</v>
      </c>
      <c r="AG7" s="85">
        <v>1</v>
      </c>
      <c r="AJ7" s="99">
        <v>0</v>
      </c>
      <c r="AK7" s="100">
        <v>0.1</v>
      </c>
      <c r="AL7" s="101">
        <v>0.2</v>
      </c>
      <c r="AM7" s="101">
        <v>0.4</v>
      </c>
      <c r="AN7" s="101">
        <v>0.6</v>
      </c>
      <c r="AO7" s="101">
        <v>0.8</v>
      </c>
      <c r="AP7" s="102">
        <v>1</v>
      </c>
      <c r="AQ7" s="99">
        <v>0</v>
      </c>
      <c r="AR7" s="100">
        <v>0.1</v>
      </c>
      <c r="AS7" s="101">
        <v>0.2</v>
      </c>
      <c r="AT7" s="101">
        <v>0.4</v>
      </c>
      <c r="AU7" s="101">
        <v>0.6</v>
      </c>
      <c r="AV7" s="101">
        <v>0.8</v>
      </c>
      <c r="AW7" s="102">
        <v>1</v>
      </c>
      <c r="AX7" s="99">
        <v>0</v>
      </c>
      <c r="AY7" s="100">
        <v>0.1</v>
      </c>
      <c r="AZ7" s="101">
        <v>0.2</v>
      </c>
      <c r="BA7" s="101">
        <v>0.4</v>
      </c>
      <c r="BB7" s="101">
        <v>0.6</v>
      </c>
      <c r="BC7" s="101">
        <v>0.8</v>
      </c>
      <c r="BD7" s="102">
        <v>1</v>
      </c>
      <c r="BE7" s="99">
        <v>0</v>
      </c>
      <c r="BF7" s="100">
        <v>0.1</v>
      </c>
      <c r="BG7" s="101">
        <v>0.2</v>
      </c>
      <c r="BH7" s="101">
        <v>0.4</v>
      </c>
      <c r="BI7" s="101">
        <v>0.6</v>
      </c>
      <c r="BJ7" s="101">
        <v>0.8</v>
      </c>
      <c r="BK7" s="102">
        <v>1</v>
      </c>
      <c r="BN7" s="4"/>
      <c r="BO7" s="4"/>
      <c r="BP7" s="3"/>
      <c r="BQ7" s="3"/>
      <c r="BR7" s="3"/>
      <c r="BS7" s="3"/>
      <c r="BT7" s="3"/>
      <c r="BU7" s="4"/>
      <c r="BV7" s="4"/>
      <c r="BW7" s="3"/>
      <c r="BX7" s="3"/>
      <c r="BY7" s="3"/>
      <c r="BZ7" s="3"/>
      <c r="CA7" s="3"/>
      <c r="CB7" s="4"/>
      <c r="CC7" s="4"/>
      <c r="CD7" s="3"/>
      <c r="CE7" s="3"/>
      <c r="CF7" s="3"/>
      <c r="CG7" s="3"/>
      <c r="CH7" s="3"/>
      <c r="CI7" s="4"/>
      <c r="CJ7" s="4"/>
      <c r="CK7" s="3"/>
      <c r="CL7" s="3"/>
      <c r="CM7" s="3"/>
      <c r="CN7" s="3"/>
      <c r="CO7" s="3"/>
    </row>
    <row r="8" spans="1:93" ht="15" thickBot="1">
      <c r="A8" s="815"/>
      <c r="B8" s="4" t="s">
        <v>76</v>
      </c>
      <c r="C8" s="797"/>
      <c r="D8" s="3" t="s">
        <v>77</v>
      </c>
      <c r="E8" s="4" t="s">
        <v>75</v>
      </c>
      <c r="F8" s="86"/>
      <c r="G8" s="87"/>
      <c r="H8" s="87"/>
      <c r="I8" s="87"/>
      <c r="J8" s="87"/>
      <c r="K8" s="87"/>
      <c r="L8" s="88"/>
      <c r="M8" s="86"/>
      <c r="N8" s="87"/>
      <c r="O8" s="87"/>
      <c r="P8" s="87"/>
      <c r="Q8" s="87"/>
      <c r="R8" s="87"/>
      <c r="S8" s="88"/>
      <c r="T8" s="86"/>
      <c r="U8" s="87"/>
      <c r="V8" s="87"/>
      <c r="W8" s="87"/>
      <c r="X8" s="87"/>
      <c r="Y8" s="87"/>
      <c r="Z8" s="88"/>
      <c r="AA8" s="86"/>
      <c r="AB8" s="87"/>
      <c r="AC8" s="87"/>
      <c r="AD8" s="87"/>
      <c r="AE8" s="87"/>
      <c r="AF8" s="87"/>
      <c r="AG8" s="88"/>
      <c r="AM8" s="13"/>
      <c r="AN8" s="13"/>
      <c r="AO8" s="13"/>
      <c r="AP8" s="13"/>
      <c r="AQ8" s="13"/>
      <c r="AR8" s="13"/>
      <c r="AS8" s="13"/>
      <c r="AT8" s="13"/>
      <c r="BQ8" s="13"/>
      <c r="BR8" s="13"/>
      <c r="BS8" s="13"/>
      <c r="BT8" s="13"/>
      <c r="BU8" s="13"/>
      <c r="BV8" s="13"/>
      <c r="BW8" s="13"/>
      <c r="BX8" s="13"/>
    </row>
    <row r="9" spans="1:93">
      <c r="A9" s="220">
        <v>0</v>
      </c>
      <c r="B9" s="74">
        <f>IF('Configuration Settings'!H41&gt;0,'Configuration Settings'!H41,'Configuration Settings'!J41)</f>
        <v>690</v>
      </c>
      <c r="C9" s="119">
        <v>0</v>
      </c>
      <c r="D9" s="73">
        <v>0.189</v>
      </c>
      <c r="E9" s="74">
        <f>B$9*D9</f>
        <v>130.41</v>
      </c>
      <c r="F9" s="75">
        <f t="shared" ref="F9:L24" si="0">$F$5*(1-F$7)+$E9*(F$7)</f>
        <v>138</v>
      </c>
      <c r="G9" s="76">
        <f t="shared" si="0"/>
        <v>137.24100000000001</v>
      </c>
      <c r="H9" s="76">
        <f t="shared" si="0"/>
        <v>136.482</v>
      </c>
      <c r="I9" s="76">
        <f t="shared" si="0"/>
        <v>134.964</v>
      </c>
      <c r="J9" s="76">
        <f t="shared" si="0"/>
        <v>133.446</v>
      </c>
      <c r="K9" s="76">
        <f t="shared" si="0"/>
        <v>131.928</v>
      </c>
      <c r="L9" s="77">
        <f t="shared" si="0"/>
        <v>130.41</v>
      </c>
      <c r="M9" s="75">
        <f t="shared" ref="M9:S24" si="1">$M$5*(1-M$7)+$E9*(M$7)</f>
        <v>124.2</v>
      </c>
      <c r="N9" s="76">
        <f t="shared" si="1"/>
        <v>124.821</v>
      </c>
      <c r="O9" s="76">
        <f t="shared" si="1"/>
        <v>125.44200000000001</v>
      </c>
      <c r="P9" s="76">
        <f t="shared" si="1"/>
        <v>126.684</v>
      </c>
      <c r="Q9" s="76">
        <f t="shared" si="1"/>
        <v>127.926</v>
      </c>
      <c r="R9" s="76">
        <f t="shared" si="1"/>
        <v>129.16800000000001</v>
      </c>
      <c r="S9" s="77">
        <f t="shared" si="1"/>
        <v>130.41</v>
      </c>
      <c r="T9" s="75">
        <f t="shared" ref="T9:Z24" si="2">$T$5*(1-T$7)+$E9*(T$7)</f>
        <v>110.4</v>
      </c>
      <c r="U9" s="76">
        <f t="shared" si="2"/>
        <v>112.40100000000001</v>
      </c>
      <c r="V9" s="76">
        <f t="shared" si="2"/>
        <v>114.40200000000002</v>
      </c>
      <c r="W9" s="76">
        <f t="shared" si="2"/>
        <v>118.404</v>
      </c>
      <c r="X9" s="76">
        <f t="shared" si="2"/>
        <v>122.40600000000001</v>
      </c>
      <c r="Y9" s="76">
        <f t="shared" si="2"/>
        <v>126.408</v>
      </c>
      <c r="Z9" s="77">
        <f t="shared" si="2"/>
        <v>130.41</v>
      </c>
      <c r="AA9" s="75">
        <f t="shared" ref="AA9:AG24" si="3">$AA$5*(1-AA$7)+$E9*(AA$7)</f>
        <v>96.6</v>
      </c>
      <c r="AB9" s="76">
        <f t="shared" si="3"/>
        <v>99.980999999999995</v>
      </c>
      <c r="AC9" s="76">
        <f t="shared" si="3"/>
        <v>103.36199999999999</v>
      </c>
      <c r="AD9" s="76">
        <f t="shared" si="3"/>
        <v>110.124</v>
      </c>
      <c r="AE9" s="76">
        <f t="shared" si="3"/>
        <v>116.886</v>
      </c>
      <c r="AF9" s="76">
        <f t="shared" si="3"/>
        <v>123.648</v>
      </c>
      <c r="AG9" s="77">
        <f t="shared" si="3"/>
        <v>130.41</v>
      </c>
      <c r="AJ9" s="90">
        <f>(($F$9-F9)/$F$9)</f>
        <v>0</v>
      </c>
      <c r="AK9" s="91">
        <f t="shared" ref="AK9:BK18" si="4">(($F$9-G9)/$F$9)</f>
        <v>5.4999999999998991E-3</v>
      </c>
      <c r="AL9" s="91">
        <f t="shared" si="4"/>
        <v>1.1000000000000005E-2</v>
      </c>
      <c r="AM9" s="91">
        <f t="shared" si="4"/>
        <v>2.2000000000000009E-2</v>
      </c>
      <c r="AN9" s="91">
        <f t="shared" si="4"/>
        <v>3.3000000000000015E-2</v>
      </c>
      <c r="AO9" s="91">
        <f t="shared" si="4"/>
        <v>4.4000000000000018E-2</v>
      </c>
      <c r="AP9" s="92">
        <f t="shared" si="4"/>
        <v>5.5000000000000028E-2</v>
      </c>
      <c r="AQ9" s="90">
        <f t="shared" si="4"/>
        <v>9.9999999999999978E-2</v>
      </c>
      <c r="AR9" s="91">
        <f t="shared" si="4"/>
        <v>9.5500000000000015E-2</v>
      </c>
      <c r="AS9" s="91">
        <f t="shared" si="4"/>
        <v>9.0999999999999942E-2</v>
      </c>
      <c r="AT9" s="91">
        <f t="shared" si="4"/>
        <v>8.2000000000000017E-2</v>
      </c>
      <c r="AU9" s="91">
        <f t="shared" si="4"/>
        <v>7.2999999999999982E-2</v>
      </c>
      <c r="AV9" s="91">
        <f t="shared" si="4"/>
        <v>6.399999999999996E-2</v>
      </c>
      <c r="AW9" s="92">
        <f t="shared" si="4"/>
        <v>5.5000000000000028E-2</v>
      </c>
      <c r="AX9" s="90">
        <f t="shared" si="4"/>
        <v>0.19999999999999996</v>
      </c>
      <c r="AY9" s="91">
        <f t="shared" si="4"/>
        <v>0.18549999999999991</v>
      </c>
      <c r="AZ9" s="91">
        <f t="shared" si="4"/>
        <v>0.1709999999999999</v>
      </c>
      <c r="BA9" s="91">
        <f t="shared" si="4"/>
        <v>0.14200000000000002</v>
      </c>
      <c r="BB9" s="91">
        <f t="shared" si="4"/>
        <v>0.11299999999999996</v>
      </c>
      <c r="BC9" s="91">
        <f t="shared" si="4"/>
        <v>8.3999999999999991E-2</v>
      </c>
      <c r="BD9" s="92">
        <f t="shared" si="4"/>
        <v>5.5000000000000028E-2</v>
      </c>
      <c r="BE9" s="90">
        <f t="shared" si="4"/>
        <v>0.30000000000000004</v>
      </c>
      <c r="BF9" s="91">
        <f t="shared" si="4"/>
        <v>0.27550000000000002</v>
      </c>
      <c r="BG9" s="91">
        <f t="shared" si="4"/>
        <v>0.25100000000000006</v>
      </c>
      <c r="BH9" s="91">
        <f t="shared" si="4"/>
        <v>0.20200000000000004</v>
      </c>
      <c r="BI9" s="91">
        <f t="shared" si="4"/>
        <v>0.15300000000000002</v>
      </c>
      <c r="BJ9" s="91">
        <f t="shared" si="4"/>
        <v>0.10400000000000002</v>
      </c>
      <c r="BK9" s="92">
        <f t="shared" si="4"/>
        <v>5.5000000000000028E-2</v>
      </c>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row>
    <row r="10" spans="1:93">
      <c r="A10" s="221">
        <v>0</v>
      </c>
      <c r="B10" s="73"/>
      <c r="C10" s="120">
        <v>0.2</v>
      </c>
      <c r="D10" s="73">
        <f t="shared" ref="D10:D52" si="5">D$9*(1-C10)</f>
        <v>0.1512</v>
      </c>
      <c r="E10" s="74">
        <f>B$9*D10</f>
        <v>104.328</v>
      </c>
      <c r="F10" s="78">
        <f t="shared" si="0"/>
        <v>138</v>
      </c>
      <c r="G10" s="79">
        <f t="shared" si="0"/>
        <v>134.6328</v>
      </c>
      <c r="H10" s="79">
        <f t="shared" si="0"/>
        <v>131.26560000000001</v>
      </c>
      <c r="I10" s="79">
        <f t="shared" si="0"/>
        <v>124.5312</v>
      </c>
      <c r="J10" s="79">
        <f t="shared" si="0"/>
        <v>117.7968</v>
      </c>
      <c r="K10" s="79">
        <f t="shared" si="0"/>
        <v>111.0624</v>
      </c>
      <c r="L10" s="80">
        <f t="shared" si="0"/>
        <v>104.328</v>
      </c>
      <c r="M10" s="78">
        <f t="shared" si="1"/>
        <v>124.2</v>
      </c>
      <c r="N10" s="79">
        <f t="shared" si="1"/>
        <v>122.2128</v>
      </c>
      <c r="O10" s="79">
        <f t="shared" si="1"/>
        <v>120.22560000000001</v>
      </c>
      <c r="P10" s="79">
        <f t="shared" si="1"/>
        <v>116.2512</v>
      </c>
      <c r="Q10" s="79">
        <f t="shared" si="1"/>
        <v>112.27680000000001</v>
      </c>
      <c r="R10" s="79">
        <f t="shared" si="1"/>
        <v>108.30240000000001</v>
      </c>
      <c r="S10" s="80">
        <f t="shared" si="1"/>
        <v>104.328</v>
      </c>
      <c r="T10" s="78">
        <f t="shared" si="2"/>
        <v>110.4</v>
      </c>
      <c r="U10" s="79">
        <f t="shared" si="2"/>
        <v>109.79280000000001</v>
      </c>
      <c r="V10" s="79">
        <f t="shared" si="2"/>
        <v>109.18560000000001</v>
      </c>
      <c r="W10" s="79">
        <f t="shared" si="2"/>
        <v>107.9712</v>
      </c>
      <c r="X10" s="79">
        <f t="shared" si="2"/>
        <v>106.7568</v>
      </c>
      <c r="Y10" s="79">
        <f t="shared" si="2"/>
        <v>105.5424</v>
      </c>
      <c r="Z10" s="80">
        <f t="shared" si="2"/>
        <v>104.328</v>
      </c>
      <c r="AA10" s="78">
        <f t="shared" si="3"/>
        <v>96.6</v>
      </c>
      <c r="AB10" s="79">
        <f t="shared" si="3"/>
        <v>97.372799999999998</v>
      </c>
      <c r="AC10" s="79">
        <f t="shared" si="3"/>
        <v>98.145600000000002</v>
      </c>
      <c r="AD10" s="79">
        <f t="shared" si="3"/>
        <v>99.691199999999995</v>
      </c>
      <c r="AE10" s="79">
        <f t="shared" si="3"/>
        <v>101.2368</v>
      </c>
      <c r="AF10" s="79">
        <f t="shared" si="3"/>
        <v>102.7824</v>
      </c>
      <c r="AG10" s="80">
        <f t="shared" si="3"/>
        <v>104.328</v>
      </c>
      <c r="AJ10" s="93">
        <f t="shared" ref="AJ10:AJ12" si="6">(($F$9-F10)/$F$9)</f>
        <v>0</v>
      </c>
      <c r="AK10" s="94">
        <f t="shared" si="4"/>
        <v>2.4399999999999977E-2</v>
      </c>
      <c r="AL10" s="94">
        <f t="shared" si="4"/>
        <v>4.8799999999999955E-2</v>
      </c>
      <c r="AM10" s="94">
        <f t="shared" si="4"/>
        <v>9.7600000000000006E-2</v>
      </c>
      <c r="AN10" s="94">
        <f t="shared" si="4"/>
        <v>0.14639999999999997</v>
      </c>
      <c r="AO10" s="94">
        <f t="shared" si="4"/>
        <v>0.19520000000000001</v>
      </c>
      <c r="AP10" s="95">
        <f t="shared" si="4"/>
        <v>0.24399999999999997</v>
      </c>
      <c r="AQ10" s="93">
        <f t="shared" si="4"/>
        <v>9.9999999999999978E-2</v>
      </c>
      <c r="AR10" s="94">
        <f t="shared" si="4"/>
        <v>0.11439999999999999</v>
      </c>
      <c r="AS10" s="94">
        <f t="shared" si="4"/>
        <v>0.12879999999999989</v>
      </c>
      <c r="AT10" s="94">
        <f t="shared" si="4"/>
        <v>0.15760000000000002</v>
      </c>
      <c r="AU10" s="94">
        <f t="shared" si="4"/>
        <v>0.18639999999999993</v>
      </c>
      <c r="AV10" s="94">
        <f t="shared" si="4"/>
        <v>0.21519999999999995</v>
      </c>
      <c r="AW10" s="95">
        <f t="shared" si="4"/>
        <v>0.24399999999999997</v>
      </c>
      <c r="AX10" s="93">
        <f t="shared" si="4"/>
        <v>0.19999999999999996</v>
      </c>
      <c r="AY10" s="94">
        <f t="shared" si="4"/>
        <v>0.20439999999999989</v>
      </c>
      <c r="AZ10" s="94">
        <f t="shared" si="4"/>
        <v>0.20879999999999993</v>
      </c>
      <c r="BA10" s="94">
        <f t="shared" si="4"/>
        <v>0.21760000000000002</v>
      </c>
      <c r="BB10" s="94">
        <f t="shared" si="4"/>
        <v>0.22640000000000002</v>
      </c>
      <c r="BC10" s="94">
        <f t="shared" si="4"/>
        <v>0.23519999999999999</v>
      </c>
      <c r="BD10" s="95">
        <f t="shared" si="4"/>
        <v>0.24399999999999997</v>
      </c>
      <c r="BE10" s="93">
        <f t="shared" si="4"/>
        <v>0.30000000000000004</v>
      </c>
      <c r="BF10" s="94">
        <f t="shared" si="4"/>
        <v>0.2944</v>
      </c>
      <c r="BG10" s="94">
        <f t="shared" si="4"/>
        <v>0.2888</v>
      </c>
      <c r="BH10" s="94">
        <f t="shared" si="4"/>
        <v>0.27760000000000001</v>
      </c>
      <c r="BI10" s="94">
        <f t="shared" si="4"/>
        <v>0.26639999999999997</v>
      </c>
      <c r="BJ10" s="94">
        <f t="shared" si="4"/>
        <v>0.25520000000000004</v>
      </c>
      <c r="BK10" s="95">
        <f t="shared" si="4"/>
        <v>0.24399999999999997</v>
      </c>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row>
    <row r="11" spans="1:93">
      <c r="A11" s="221">
        <v>0</v>
      </c>
      <c r="B11" s="73"/>
      <c r="C11" s="120">
        <v>0.4</v>
      </c>
      <c r="D11" s="73">
        <f t="shared" si="5"/>
        <v>0.1134</v>
      </c>
      <c r="E11" s="74">
        <f>B$9*D11</f>
        <v>78.245999999999995</v>
      </c>
      <c r="F11" s="78">
        <f t="shared" si="0"/>
        <v>138</v>
      </c>
      <c r="G11" s="79">
        <f t="shared" si="0"/>
        <v>132.02459999999999</v>
      </c>
      <c r="H11" s="79">
        <f t="shared" si="0"/>
        <v>126.04920000000001</v>
      </c>
      <c r="I11" s="79">
        <f t="shared" si="0"/>
        <v>114.0984</v>
      </c>
      <c r="J11" s="79">
        <f t="shared" si="0"/>
        <v>102.1476</v>
      </c>
      <c r="K11" s="79">
        <f t="shared" si="0"/>
        <v>90.196799999999996</v>
      </c>
      <c r="L11" s="80">
        <f t="shared" si="0"/>
        <v>78.245999999999995</v>
      </c>
      <c r="M11" s="78">
        <f t="shared" si="1"/>
        <v>124.2</v>
      </c>
      <c r="N11" s="79">
        <f t="shared" si="1"/>
        <v>119.6046</v>
      </c>
      <c r="O11" s="79">
        <f t="shared" si="1"/>
        <v>115.00920000000002</v>
      </c>
      <c r="P11" s="79">
        <f t="shared" si="1"/>
        <v>105.8184</v>
      </c>
      <c r="Q11" s="79">
        <f t="shared" si="1"/>
        <v>96.627600000000001</v>
      </c>
      <c r="R11" s="79">
        <f t="shared" si="1"/>
        <v>87.436800000000005</v>
      </c>
      <c r="S11" s="80">
        <f t="shared" si="1"/>
        <v>78.245999999999995</v>
      </c>
      <c r="T11" s="78">
        <f t="shared" si="2"/>
        <v>110.4</v>
      </c>
      <c r="U11" s="79">
        <f t="shared" si="2"/>
        <v>107.18460000000002</v>
      </c>
      <c r="V11" s="79">
        <f t="shared" si="2"/>
        <v>103.9692</v>
      </c>
      <c r="W11" s="79">
        <f t="shared" si="2"/>
        <v>97.538399999999996</v>
      </c>
      <c r="X11" s="79">
        <f t="shared" si="2"/>
        <v>91.107599999999991</v>
      </c>
      <c r="Y11" s="79">
        <f t="shared" si="2"/>
        <v>84.6768</v>
      </c>
      <c r="Z11" s="80">
        <f t="shared" si="2"/>
        <v>78.245999999999995</v>
      </c>
      <c r="AA11" s="78">
        <f t="shared" si="3"/>
        <v>96.6</v>
      </c>
      <c r="AB11" s="79">
        <f t="shared" si="3"/>
        <v>94.764600000000002</v>
      </c>
      <c r="AC11" s="79">
        <f t="shared" si="3"/>
        <v>92.929200000000009</v>
      </c>
      <c r="AD11" s="79">
        <f t="shared" si="3"/>
        <v>89.258399999999995</v>
      </c>
      <c r="AE11" s="79">
        <f t="shared" si="3"/>
        <v>85.587599999999995</v>
      </c>
      <c r="AF11" s="79">
        <f t="shared" si="3"/>
        <v>81.916799999999995</v>
      </c>
      <c r="AG11" s="80">
        <f t="shared" si="3"/>
        <v>78.245999999999995</v>
      </c>
      <c r="AJ11" s="93">
        <f t="shared" si="6"/>
        <v>0</v>
      </c>
      <c r="AK11" s="94">
        <f t="shared" si="4"/>
        <v>4.3300000000000054E-2</v>
      </c>
      <c r="AL11" s="94">
        <f t="shared" si="4"/>
        <v>8.6599999999999899E-2</v>
      </c>
      <c r="AM11" s="94">
        <f t="shared" si="4"/>
        <v>0.17320000000000002</v>
      </c>
      <c r="AN11" s="94">
        <f t="shared" si="4"/>
        <v>0.25980000000000003</v>
      </c>
      <c r="AO11" s="94">
        <f t="shared" si="4"/>
        <v>0.34640000000000004</v>
      </c>
      <c r="AP11" s="95">
        <f t="shared" si="4"/>
        <v>0.43300000000000005</v>
      </c>
      <c r="AQ11" s="93">
        <f t="shared" si="4"/>
        <v>9.9999999999999978E-2</v>
      </c>
      <c r="AR11" s="94">
        <f t="shared" si="4"/>
        <v>0.13329999999999997</v>
      </c>
      <c r="AS11" s="94">
        <f t="shared" si="4"/>
        <v>0.16659999999999986</v>
      </c>
      <c r="AT11" s="94">
        <f t="shared" si="4"/>
        <v>0.23320000000000002</v>
      </c>
      <c r="AU11" s="94">
        <f t="shared" si="4"/>
        <v>0.29980000000000001</v>
      </c>
      <c r="AV11" s="94">
        <f t="shared" si="4"/>
        <v>0.36639999999999995</v>
      </c>
      <c r="AW11" s="95">
        <f t="shared" si="4"/>
        <v>0.43300000000000005</v>
      </c>
      <c r="AX11" s="93">
        <f t="shared" si="4"/>
        <v>0.19999999999999996</v>
      </c>
      <c r="AY11" s="94">
        <f t="shared" si="4"/>
        <v>0.22329999999999989</v>
      </c>
      <c r="AZ11" s="94">
        <f t="shared" si="4"/>
        <v>0.24659999999999999</v>
      </c>
      <c r="BA11" s="94">
        <f t="shared" si="4"/>
        <v>0.29320000000000002</v>
      </c>
      <c r="BB11" s="94">
        <f t="shared" si="4"/>
        <v>0.33980000000000005</v>
      </c>
      <c r="BC11" s="94">
        <f t="shared" si="4"/>
        <v>0.38640000000000002</v>
      </c>
      <c r="BD11" s="95">
        <f t="shared" si="4"/>
        <v>0.43300000000000005</v>
      </c>
      <c r="BE11" s="93">
        <f t="shared" si="4"/>
        <v>0.30000000000000004</v>
      </c>
      <c r="BF11" s="94">
        <f t="shared" si="4"/>
        <v>0.31329999999999997</v>
      </c>
      <c r="BG11" s="94">
        <f t="shared" si="4"/>
        <v>0.32659999999999995</v>
      </c>
      <c r="BH11" s="94">
        <f t="shared" si="4"/>
        <v>0.35320000000000001</v>
      </c>
      <c r="BI11" s="94">
        <f t="shared" si="4"/>
        <v>0.37980000000000003</v>
      </c>
      <c r="BJ11" s="94">
        <f t="shared" si="4"/>
        <v>0.40640000000000004</v>
      </c>
      <c r="BK11" s="95">
        <f t="shared" si="4"/>
        <v>0.43300000000000005</v>
      </c>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row>
    <row r="12" spans="1:93" ht="15" thickBot="1">
      <c r="A12" s="222">
        <v>0</v>
      </c>
      <c r="B12" s="73"/>
      <c r="C12" s="121">
        <v>0.6</v>
      </c>
      <c r="D12" s="73">
        <f t="shared" si="5"/>
        <v>7.5600000000000001E-2</v>
      </c>
      <c r="E12" s="74">
        <f>B$9*D12</f>
        <v>52.164000000000001</v>
      </c>
      <c r="F12" s="81">
        <f t="shared" si="0"/>
        <v>138</v>
      </c>
      <c r="G12" s="82">
        <f t="shared" si="0"/>
        <v>129.41640000000001</v>
      </c>
      <c r="H12" s="82">
        <f t="shared" si="0"/>
        <v>120.83280000000001</v>
      </c>
      <c r="I12" s="82">
        <f t="shared" si="0"/>
        <v>103.6656</v>
      </c>
      <c r="J12" s="82">
        <f t="shared" si="0"/>
        <v>86.498400000000004</v>
      </c>
      <c r="K12" s="82">
        <f t="shared" si="0"/>
        <v>69.331199999999995</v>
      </c>
      <c r="L12" s="83">
        <f t="shared" si="0"/>
        <v>52.164000000000001</v>
      </c>
      <c r="M12" s="81">
        <f t="shared" si="1"/>
        <v>124.2</v>
      </c>
      <c r="N12" s="82">
        <f t="shared" si="1"/>
        <v>116.99639999999999</v>
      </c>
      <c r="O12" s="82">
        <f t="shared" si="1"/>
        <v>109.79280000000001</v>
      </c>
      <c r="P12" s="82">
        <f t="shared" si="1"/>
        <v>95.385599999999997</v>
      </c>
      <c r="Q12" s="82">
        <f t="shared" si="1"/>
        <v>80.978400000000008</v>
      </c>
      <c r="R12" s="82">
        <f t="shared" si="1"/>
        <v>66.571200000000005</v>
      </c>
      <c r="S12" s="83">
        <f t="shared" si="1"/>
        <v>52.164000000000001</v>
      </c>
      <c r="T12" s="81">
        <f t="shared" si="2"/>
        <v>110.4</v>
      </c>
      <c r="U12" s="82">
        <f t="shared" si="2"/>
        <v>104.57640000000001</v>
      </c>
      <c r="V12" s="82">
        <f t="shared" si="2"/>
        <v>98.752800000000008</v>
      </c>
      <c r="W12" s="82">
        <f t="shared" si="2"/>
        <v>87.105599999999995</v>
      </c>
      <c r="X12" s="82">
        <f t="shared" si="2"/>
        <v>75.458400000000012</v>
      </c>
      <c r="Y12" s="82">
        <f t="shared" si="2"/>
        <v>63.811199999999999</v>
      </c>
      <c r="Z12" s="83">
        <f t="shared" si="2"/>
        <v>52.164000000000001</v>
      </c>
      <c r="AA12" s="81">
        <f t="shared" si="3"/>
        <v>96.6</v>
      </c>
      <c r="AB12" s="82">
        <f t="shared" si="3"/>
        <v>92.156399999999991</v>
      </c>
      <c r="AC12" s="82">
        <f t="shared" si="3"/>
        <v>87.712800000000001</v>
      </c>
      <c r="AD12" s="82">
        <f t="shared" si="3"/>
        <v>78.825599999999994</v>
      </c>
      <c r="AE12" s="82">
        <f t="shared" si="3"/>
        <v>69.938400000000001</v>
      </c>
      <c r="AF12" s="82">
        <f t="shared" si="3"/>
        <v>61.051199999999994</v>
      </c>
      <c r="AG12" s="83">
        <f t="shared" si="3"/>
        <v>52.164000000000001</v>
      </c>
      <c r="AJ12" s="96">
        <f t="shared" si="6"/>
        <v>0</v>
      </c>
      <c r="AK12" s="97">
        <f t="shared" si="4"/>
        <v>6.2199999999999929E-2</v>
      </c>
      <c r="AL12" s="97">
        <f t="shared" si="4"/>
        <v>0.12439999999999996</v>
      </c>
      <c r="AM12" s="97">
        <f t="shared" si="4"/>
        <v>0.24880000000000002</v>
      </c>
      <c r="AN12" s="97">
        <f t="shared" si="4"/>
        <v>0.37319999999999998</v>
      </c>
      <c r="AO12" s="97">
        <f t="shared" si="4"/>
        <v>0.49760000000000004</v>
      </c>
      <c r="AP12" s="98">
        <f t="shared" si="4"/>
        <v>0.622</v>
      </c>
      <c r="AQ12" s="96">
        <f t="shared" si="4"/>
        <v>9.9999999999999978E-2</v>
      </c>
      <c r="AR12" s="97">
        <f t="shared" si="4"/>
        <v>0.15220000000000003</v>
      </c>
      <c r="AS12" s="97">
        <f t="shared" si="4"/>
        <v>0.20439999999999989</v>
      </c>
      <c r="AT12" s="97">
        <f t="shared" si="4"/>
        <v>0.30880000000000002</v>
      </c>
      <c r="AU12" s="97">
        <f t="shared" si="4"/>
        <v>0.41319999999999996</v>
      </c>
      <c r="AV12" s="97">
        <f t="shared" si="4"/>
        <v>0.51759999999999995</v>
      </c>
      <c r="AW12" s="98">
        <f t="shared" si="4"/>
        <v>0.622</v>
      </c>
      <c r="AX12" s="96">
        <f t="shared" si="4"/>
        <v>0.19999999999999996</v>
      </c>
      <c r="AY12" s="97">
        <f t="shared" si="4"/>
        <v>0.24219999999999994</v>
      </c>
      <c r="AZ12" s="97">
        <f t="shared" si="4"/>
        <v>0.28439999999999993</v>
      </c>
      <c r="BA12" s="97">
        <f t="shared" si="4"/>
        <v>0.36880000000000002</v>
      </c>
      <c r="BB12" s="97">
        <f t="shared" si="4"/>
        <v>0.45319999999999994</v>
      </c>
      <c r="BC12" s="97">
        <f t="shared" si="4"/>
        <v>0.53759999999999997</v>
      </c>
      <c r="BD12" s="98">
        <f t="shared" si="4"/>
        <v>0.622</v>
      </c>
      <c r="BE12" s="96">
        <f t="shared" si="4"/>
        <v>0.30000000000000004</v>
      </c>
      <c r="BF12" s="97">
        <f t="shared" si="4"/>
        <v>0.33220000000000005</v>
      </c>
      <c r="BG12" s="97">
        <f t="shared" si="4"/>
        <v>0.3644</v>
      </c>
      <c r="BH12" s="97">
        <f t="shared" si="4"/>
        <v>0.42880000000000001</v>
      </c>
      <c r="BI12" s="97">
        <f t="shared" si="4"/>
        <v>0.49319999999999997</v>
      </c>
      <c r="BJ12" s="97">
        <f t="shared" si="4"/>
        <v>0.5576000000000001</v>
      </c>
      <c r="BK12" s="98">
        <f t="shared" si="4"/>
        <v>0.622</v>
      </c>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row>
    <row r="13" spans="1:93">
      <c r="A13" s="220">
        <v>0.1</v>
      </c>
      <c r="B13" s="74">
        <f>B$9*(1-A13)+B$49*A13</f>
        <v>622</v>
      </c>
      <c r="C13" s="119">
        <v>0</v>
      </c>
      <c r="D13" s="73">
        <f t="shared" si="5"/>
        <v>0.189</v>
      </c>
      <c r="E13" s="74">
        <f>B$13*D13</f>
        <v>117.55800000000001</v>
      </c>
      <c r="F13" s="75">
        <f t="shared" si="0"/>
        <v>138</v>
      </c>
      <c r="G13" s="76">
        <f t="shared" si="0"/>
        <v>135.95580000000001</v>
      </c>
      <c r="H13" s="76">
        <f t="shared" si="0"/>
        <v>133.91160000000002</v>
      </c>
      <c r="I13" s="76">
        <f t="shared" si="0"/>
        <v>129.82319999999999</v>
      </c>
      <c r="J13" s="76">
        <f t="shared" si="0"/>
        <v>125.73480000000001</v>
      </c>
      <c r="K13" s="76">
        <f t="shared" si="0"/>
        <v>121.6464</v>
      </c>
      <c r="L13" s="77">
        <f t="shared" si="0"/>
        <v>117.55800000000001</v>
      </c>
      <c r="M13" s="75">
        <f t="shared" si="1"/>
        <v>124.2</v>
      </c>
      <c r="N13" s="76">
        <f t="shared" si="1"/>
        <v>123.53579999999999</v>
      </c>
      <c r="O13" s="76">
        <f t="shared" si="1"/>
        <v>122.87160000000002</v>
      </c>
      <c r="P13" s="76">
        <f t="shared" si="1"/>
        <v>121.5432</v>
      </c>
      <c r="Q13" s="76">
        <f t="shared" si="1"/>
        <v>120.21480000000001</v>
      </c>
      <c r="R13" s="76">
        <f t="shared" si="1"/>
        <v>118.88640000000001</v>
      </c>
      <c r="S13" s="77">
        <f t="shared" si="1"/>
        <v>117.55800000000001</v>
      </c>
      <c r="T13" s="75">
        <f t="shared" si="2"/>
        <v>110.4</v>
      </c>
      <c r="U13" s="76">
        <f t="shared" si="2"/>
        <v>111.11580000000001</v>
      </c>
      <c r="V13" s="76">
        <f t="shared" si="2"/>
        <v>111.83160000000001</v>
      </c>
      <c r="W13" s="76">
        <f t="shared" si="2"/>
        <v>113.2632</v>
      </c>
      <c r="X13" s="76">
        <f t="shared" si="2"/>
        <v>114.69480000000001</v>
      </c>
      <c r="Y13" s="76">
        <f t="shared" si="2"/>
        <v>116.1264</v>
      </c>
      <c r="Z13" s="77">
        <f t="shared" si="2"/>
        <v>117.55800000000001</v>
      </c>
      <c r="AA13" s="75">
        <f t="shared" si="3"/>
        <v>96.6</v>
      </c>
      <c r="AB13" s="76">
        <f t="shared" si="3"/>
        <v>98.695799999999991</v>
      </c>
      <c r="AC13" s="76">
        <f t="shared" si="3"/>
        <v>100.7916</v>
      </c>
      <c r="AD13" s="76">
        <f t="shared" si="3"/>
        <v>104.9832</v>
      </c>
      <c r="AE13" s="76">
        <f t="shared" si="3"/>
        <v>109.1748</v>
      </c>
      <c r="AF13" s="76">
        <f t="shared" si="3"/>
        <v>113.3664</v>
      </c>
      <c r="AG13" s="77">
        <f t="shared" si="3"/>
        <v>117.55800000000001</v>
      </c>
      <c r="AJ13" s="90">
        <f>(($F$9-F13)/$F$9)</f>
        <v>0</v>
      </c>
      <c r="AK13" s="91">
        <f t="shared" si="4"/>
        <v>1.4813043478260792E-2</v>
      </c>
      <c r="AL13" s="91">
        <f t="shared" si="4"/>
        <v>2.9626086956521584E-2</v>
      </c>
      <c r="AM13" s="91">
        <f t="shared" si="4"/>
        <v>5.9252173913043583E-2</v>
      </c>
      <c r="AN13" s="91">
        <f t="shared" si="4"/>
        <v>8.887826086956517E-2</v>
      </c>
      <c r="AO13" s="91">
        <f t="shared" si="4"/>
        <v>0.11850434782608696</v>
      </c>
      <c r="AP13" s="92">
        <f t="shared" si="4"/>
        <v>0.14813043478260865</v>
      </c>
      <c r="AQ13" s="90">
        <f t="shared" si="4"/>
        <v>9.9999999999999978E-2</v>
      </c>
      <c r="AR13" s="91">
        <f t="shared" si="4"/>
        <v>0.10481304347826091</v>
      </c>
      <c r="AS13" s="91">
        <f t="shared" si="4"/>
        <v>0.10962608695652162</v>
      </c>
      <c r="AT13" s="91">
        <f t="shared" si="4"/>
        <v>0.11925217391304349</v>
      </c>
      <c r="AU13" s="91">
        <f t="shared" si="4"/>
        <v>0.12887826086956514</v>
      </c>
      <c r="AV13" s="91">
        <f t="shared" si="4"/>
        <v>0.13850434782608689</v>
      </c>
      <c r="AW13" s="92">
        <f t="shared" si="4"/>
        <v>0.14813043478260865</v>
      </c>
      <c r="AX13" s="90">
        <f t="shared" si="4"/>
        <v>0.19999999999999996</v>
      </c>
      <c r="AY13" s="91">
        <f t="shared" si="4"/>
        <v>0.19481304347826081</v>
      </c>
      <c r="AZ13" s="91">
        <f t="shared" si="4"/>
        <v>0.18962608695652167</v>
      </c>
      <c r="BA13" s="91">
        <f t="shared" si="4"/>
        <v>0.17925217391304349</v>
      </c>
      <c r="BB13" s="91">
        <f t="shared" si="4"/>
        <v>0.16887826086956512</v>
      </c>
      <c r="BC13" s="91">
        <f t="shared" si="4"/>
        <v>0.15850434782608694</v>
      </c>
      <c r="BD13" s="92">
        <f t="shared" si="4"/>
        <v>0.14813043478260865</v>
      </c>
      <c r="BE13" s="90">
        <f t="shared" si="4"/>
        <v>0.30000000000000004</v>
      </c>
      <c r="BF13" s="91">
        <f t="shared" si="4"/>
        <v>0.28481304347826092</v>
      </c>
      <c r="BG13" s="91">
        <f t="shared" si="4"/>
        <v>0.26962608695652174</v>
      </c>
      <c r="BH13" s="91">
        <f t="shared" si="4"/>
        <v>0.23925217391304351</v>
      </c>
      <c r="BI13" s="91">
        <f t="shared" si="4"/>
        <v>0.20887826086956518</v>
      </c>
      <c r="BJ13" s="91">
        <f t="shared" si="4"/>
        <v>0.17850434782608696</v>
      </c>
      <c r="BK13" s="92">
        <f t="shared" si="4"/>
        <v>0.14813043478260865</v>
      </c>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row>
    <row r="14" spans="1:93">
      <c r="A14" s="221">
        <v>0.1</v>
      </c>
      <c r="B14" s="73"/>
      <c r="C14" s="120">
        <v>0.2</v>
      </c>
      <c r="D14" s="73">
        <f t="shared" si="5"/>
        <v>0.1512</v>
      </c>
      <c r="E14" s="74">
        <f>B$13*D14</f>
        <v>94.046400000000006</v>
      </c>
      <c r="F14" s="78">
        <f t="shared" si="0"/>
        <v>138</v>
      </c>
      <c r="G14" s="79">
        <f t="shared" si="0"/>
        <v>133.60464000000002</v>
      </c>
      <c r="H14" s="79">
        <f t="shared" si="0"/>
        <v>129.20928000000001</v>
      </c>
      <c r="I14" s="79">
        <f t="shared" si="0"/>
        <v>120.41856</v>
      </c>
      <c r="J14" s="79">
        <f t="shared" si="0"/>
        <v>111.62784000000001</v>
      </c>
      <c r="K14" s="79">
        <f t="shared" si="0"/>
        <v>102.83712</v>
      </c>
      <c r="L14" s="80">
        <f t="shared" si="0"/>
        <v>94.046400000000006</v>
      </c>
      <c r="M14" s="78">
        <f t="shared" si="1"/>
        <v>124.2</v>
      </c>
      <c r="N14" s="79">
        <f t="shared" si="1"/>
        <v>121.18464</v>
      </c>
      <c r="O14" s="79">
        <f t="shared" si="1"/>
        <v>118.16928000000001</v>
      </c>
      <c r="P14" s="79">
        <f t="shared" si="1"/>
        <v>112.13856</v>
      </c>
      <c r="Q14" s="79">
        <f t="shared" si="1"/>
        <v>106.10784000000001</v>
      </c>
      <c r="R14" s="79">
        <f t="shared" si="1"/>
        <v>100.07712000000001</v>
      </c>
      <c r="S14" s="80">
        <f t="shared" si="1"/>
        <v>94.046400000000006</v>
      </c>
      <c r="T14" s="78">
        <f t="shared" si="2"/>
        <v>110.4</v>
      </c>
      <c r="U14" s="79">
        <f t="shared" si="2"/>
        <v>108.76464000000001</v>
      </c>
      <c r="V14" s="79">
        <f t="shared" si="2"/>
        <v>107.12928000000001</v>
      </c>
      <c r="W14" s="79">
        <f t="shared" si="2"/>
        <v>103.85856</v>
      </c>
      <c r="X14" s="79">
        <f t="shared" si="2"/>
        <v>100.58784</v>
      </c>
      <c r="Y14" s="79">
        <f t="shared" si="2"/>
        <v>97.317120000000003</v>
      </c>
      <c r="Z14" s="80">
        <f t="shared" si="2"/>
        <v>94.046400000000006</v>
      </c>
      <c r="AA14" s="78">
        <f t="shared" si="3"/>
        <v>96.6</v>
      </c>
      <c r="AB14" s="79">
        <f t="shared" si="3"/>
        <v>96.344639999999998</v>
      </c>
      <c r="AC14" s="79">
        <f t="shared" si="3"/>
        <v>96.089280000000002</v>
      </c>
      <c r="AD14" s="79">
        <f t="shared" si="3"/>
        <v>95.578559999999996</v>
      </c>
      <c r="AE14" s="79">
        <f t="shared" si="3"/>
        <v>95.067840000000004</v>
      </c>
      <c r="AF14" s="79">
        <f t="shared" si="3"/>
        <v>94.557119999999998</v>
      </c>
      <c r="AG14" s="80">
        <f t="shared" si="3"/>
        <v>94.046400000000006</v>
      </c>
      <c r="AJ14" s="93">
        <f t="shared" ref="AJ14:AJ16" si="7">(($F$9-F14)/$F$9)</f>
        <v>0</v>
      </c>
      <c r="AK14" s="94">
        <f t="shared" si="4"/>
        <v>3.1850434782608565E-2</v>
      </c>
      <c r="AL14" s="94">
        <f t="shared" si="4"/>
        <v>6.3700869565217338E-2</v>
      </c>
      <c r="AM14" s="94">
        <f t="shared" si="4"/>
        <v>0.12740173913043479</v>
      </c>
      <c r="AN14" s="94">
        <f t="shared" si="4"/>
        <v>0.19110260869565213</v>
      </c>
      <c r="AO14" s="94">
        <f t="shared" si="4"/>
        <v>0.25480347826086958</v>
      </c>
      <c r="AP14" s="95">
        <f t="shared" si="4"/>
        <v>0.31850434782608694</v>
      </c>
      <c r="AQ14" s="93">
        <f t="shared" si="4"/>
        <v>9.9999999999999978E-2</v>
      </c>
      <c r="AR14" s="94">
        <f t="shared" si="4"/>
        <v>0.12185043478260868</v>
      </c>
      <c r="AS14" s="94">
        <f t="shared" si="4"/>
        <v>0.14370086956521727</v>
      </c>
      <c r="AT14" s="94">
        <f t="shared" si="4"/>
        <v>0.18740173913043479</v>
      </c>
      <c r="AU14" s="94">
        <f t="shared" si="4"/>
        <v>0.23110260869565211</v>
      </c>
      <c r="AV14" s="94">
        <f t="shared" si="4"/>
        <v>0.27480347826086948</v>
      </c>
      <c r="AW14" s="95">
        <f t="shared" si="4"/>
        <v>0.31850434782608694</v>
      </c>
      <c r="AX14" s="93">
        <f t="shared" si="4"/>
        <v>0.19999999999999996</v>
      </c>
      <c r="AY14" s="94">
        <f t="shared" si="4"/>
        <v>0.21185043478260859</v>
      </c>
      <c r="AZ14" s="94">
        <f t="shared" si="4"/>
        <v>0.22370086956521734</v>
      </c>
      <c r="BA14" s="94">
        <f t="shared" si="4"/>
        <v>0.24740173913043481</v>
      </c>
      <c r="BB14" s="94">
        <f t="shared" si="4"/>
        <v>0.27110260869565217</v>
      </c>
      <c r="BC14" s="94">
        <f t="shared" si="4"/>
        <v>0.29480347826086956</v>
      </c>
      <c r="BD14" s="95">
        <f t="shared" si="4"/>
        <v>0.31850434782608694</v>
      </c>
      <c r="BE14" s="93">
        <f t="shared" si="4"/>
        <v>0.30000000000000004</v>
      </c>
      <c r="BF14" s="94">
        <f t="shared" si="4"/>
        <v>0.3018504347826087</v>
      </c>
      <c r="BG14" s="94">
        <f t="shared" si="4"/>
        <v>0.30370086956521736</v>
      </c>
      <c r="BH14" s="94">
        <f t="shared" si="4"/>
        <v>0.30740173913043484</v>
      </c>
      <c r="BI14" s="94">
        <f t="shared" si="4"/>
        <v>0.31110260869565215</v>
      </c>
      <c r="BJ14" s="94">
        <f t="shared" si="4"/>
        <v>0.31480347826086957</v>
      </c>
      <c r="BK14" s="95">
        <f t="shared" si="4"/>
        <v>0.31850434782608694</v>
      </c>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row>
    <row r="15" spans="1:93">
      <c r="A15" s="221">
        <v>0.1</v>
      </c>
      <c r="B15" s="73"/>
      <c r="C15" s="120">
        <v>0.4</v>
      </c>
      <c r="D15" s="73">
        <f t="shared" si="5"/>
        <v>0.1134</v>
      </c>
      <c r="E15" s="74">
        <f>B$13*D15</f>
        <v>70.534800000000004</v>
      </c>
      <c r="F15" s="78">
        <f t="shared" si="0"/>
        <v>138</v>
      </c>
      <c r="G15" s="79">
        <f t="shared" si="0"/>
        <v>131.25348</v>
      </c>
      <c r="H15" s="79">
        <f t="shared" si="0"/>
        <v>124.50696000000001</v>
      </c>
      <c r="I15" s="79">
        <f t="shared" si="0"/>
        <v>111.01392</v>
      </c>
      <c r="J15" s="79">
        <f t="shared" si="0"/>
        <v>97.520880000000005</v>
      </c>
      <c r="K15" s="79">
        <f t="shared" si="0"/>
        <v>84.027839999999998</v>
      </c>
      <c r="L15" s="80">
        <f t="shared" si="0"/>
        <v>70.534800000000004</v>
      </c>
      <c r="M15" s="78">
        <f t="shared" si="1"/>
        <v>124.2</v>
      </c>
      <c r="N15" s="79">
        <f t="shared" si="1"/>
        <v>118.83348000000001</v>
      </c>
      <c r="O15" s="79">
        <f t="shared" si="1"/>
        <v>113.46696000000001</v>
      </c>
      <c r="P15" s="79">
        <f t="shared" si="1"/>
        <v>102.73392</v>
      </c>
      <c r="Q15" s="79">
        <f t="shared" si="1"/>
        <v>92.000880000000009</v>
      </c>
      <c r="R15" s="79">
        <f t="shared" si="1"/>
        <v>81.267840000000007</v>
      </c>
      <c r="S15" s="80">
        <f t="shared" si="1"/>
        <v>70.534800000000004</v>
      </c>
      <c r="T15" s="78">
        <f t="shared" si="2"/>
        <v>110.4</v>
      </c>
      <c r="U15" s="79">
        <f t="shared" si="2"/>
        <v>106.41348000000002</v>
      </c>
      <c r="V15" s="79">
        <f t="shared" si="2"/>
        <v>102.42696000000001</v>
      </c>
      <c r="W15" s="79">
        <f t="shared" si="2"/>
        <v>94.453919999999997</v>
      </c>
      <c r="X15" s="79">
        <f t="shared" si="2"/>
        <v>86.480880000000013</v>
      </c>
      <c r="Y15" s="79">
        <f t="shared" si="2"/>
        <v>78.507840000000002</v>
      </c>
      <c r="Z15" s="80">
        <f t="shared" si="2"/>
        <v>70.534800000000004</v>
      </c>
      <c r="AA15" s="78">
        <f t="shared" si="3"/>
        <v>96.6</v>
      </c>
      <c r="AB15" s="79">
        <f t="shared" si="3"/>
        <v>93.993480000000005</v>
      </c>
      <c r="AC15" s="79">
        <f t="shared" si="3"/>
        <v>91.386960000000002</v>
      </c>
      <c r="AD15" s="79">
        <f t="shared" si="3"/>
        <v>86.173919999999995</v>
      </c>
      <c r="AE15" s="79">
        <f t="shared" si="3"/>
        <v>80.960880000000003</v>
      </c>
      <c r="AF15" s="79">
        <f t="shared" si="3"/>
        <v>75.747839999999997</v>
      </c>
      <c r="AG15" s="80">
        <f t="shared" si="3"/>
        <v>70.534800000000004</v>
      </c>
      <c r="AJ15" s="93">
        <f t="shared" si="7"/>
        <v>0</v>
      </c>
      <c r="AK15" s="94">
        <f t="shared" si="4"/>
        <v>4.8887826086956548E-2</v>
      </c>
      <c r="AL15" s="94">
        <f t="shared" si="4"/>
        <v>9.7775652173913E-2</v>
      </c>
      <c r="AM15" s="94">
        <f t="shared" si="4"/>
        <v>0.19555130434782608</v>
      </c>
      <c r="AN15" s="94">
        <f t="shared" si="4"/>
        <v>0.29332695652173907</v>
      </c>
      <c r="AO15" s="94">
        <f t="shared" si="4"/>
        <v>0.39110260869565217</v>
      </c>
      <c r="AP15" s="95">
        <f t="shared" si="4"/>
        <v>0.48887826086956521</v>
      </c>
      <c r="AQ15" s="93">
        <f t="shared" si="4"/>
        <v>9.9999999999999978E-2</v>
      </c>
      <c r="AR15" s="94">
        <f t="shared" si="4"/>
        <v>0.13888782608695646</v>
      </c>
      <c r="AS15" s="94">
        <f t="shared" si="4"/>
        <v>0.17777565217391295</v>
      </c>
      <c r="AT15" s="94">
        <f t="shared" si="4"/>
        <v>0.25555130434782608</v>
      </c>
      <c r="AU15" s="94">
        <f t="shared" si="4"/>
        <v>0.33332695652173905</v>
      </c>
      <c r="AV15" s="94">
        <f t="shared" si="4"/>
        <v>0.41110260869565213</v>
      </c>
      <c r="AW15" s="95">
        <f t="shared" si="4"/>
        <v>0.48887826086956521</v>
      </c>
      <c r="AX15" s="93">
        <f t="shared" si="4"/>
        <v>0.19999999999999996</v>
      </c>
      <c r="AY15" s="94">
        <f t="shared" si="4"/>
        <v>0.22888782608695638</v>
      </c>
      <c r="AZ15" s="94">
        <f t="shared" si="4"/>
        <v>0.25777565217391296</v>
      </c>
      <c r="BA15" s="94">
        <f t="shared" si="4"/>
        <v>0.31555130434782613</v>
      </c>
      <c r="BB15" s="94">
        <f t="shared" si="4"/>
        <v>0.37332695652173903</v>
      </c>
      <c r="BC15" s="94">
        <f t="shared" si="4"/>
        <v>0.43110260869565215</v>
      </c>
      <c r="BD15" s="95">
        <f t="shared" si="4"/>
        <v>0.48887826086956521</v>
      </c>
      <c r="BE15" s="93">
        <f t="shared" si="4"/>
        <v>0.30000000000000004</v>
      </c>
      <c r="BF15" s="94">
        <f t="shared" si="4"/>
        <v>0.31888782608695648</v>
      </c>
      <c r="BG15" s="94">
        <f t="shared" si="4"/>
        <v>0.33777565217391303</v>
      </c>
      <c r="BH15" s="94">
        <f t="shared" si="4"/>
        <v>0.37555130434782613</v>
      </c>
      <c r="BI15" s="94">
        <f t="shared" si="4"/>
        <v>0.41332695652173912</v>
      </c>
      <c r="BJ15" s="94">
        <f t="shared" si="4"/>
        <v>0.45110260869565222</v>
      </c>
      <c r="BK15" s="95">
        <f t="shared" si="4"/>
        <v>0.48887826086956521</v>
      </c>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row>
    <row r="16" spans="1:93" ht="15" thickBot="1">
      <c r="A16" s="222">
        <v>0.1</v>
      </c>
      <c r="B16" s="73"/>
      <c r="C16" s="121">
        <v>0.6</v>
      </c>
      <c r="D16" s="73">
        <f t="shared" si="5"/>
        <v>7.5600000000000001E-2</v>
      </c>
      <c r="E16" s="74">
        <f>B$13*D16</f>
        <v>47.023200000000003</v>
      </c>
      <c r="F16" s="81">
        <f t="shared" si="0"/>
        <v>138</v>
      </c>
      <c r="G16" s="82">
        <f t="shared" si="0"/>
        <v>128.90232</v>
      </c>
      <c r="H16" s="82">
        <f t="shared" si="0"/>
        <v>119.80464000000001</v>
      </c>
      <c r="I16" s="82">
        <f t="shared" si="0"/>
        <v>101.60928</v>
      </c>
      <c r="J16" s="82">
        <f t="shared" si="0"/>
        <v>83.413920000000005</v>
      </c>
      <c r="K16" s="82">
        <f t="shared" si="0"/>
        <v>65.218559999999997</v>
      </c>
      <c r="L16" s="83">
        <f t="shared" si="0"/>
        <v>47.023200000000003</v>
      </c>
      <c r="M16" s="81">
        <f t="shared" si="1"/>
        <v>124.2</v>
      </c>
      <c r="N16" s="82">
        <f t="shared" si="1"/>
        <v>116.48232</v>
      </c>
      <c r="O16" s="82">
        <f t="shared" si="1"/>
        <v>108.76464000000001</v>
      </c>
      <c r="P16" s="82">
        <f t="shared" si="1"/>
        <v>93.329279999999997</v>
      </c>
      <c r="Q16" s="82">
        <f t="shared" si="1"/>
        <v>77.893920000000008</v>
      </c>
      <c r="R16" s="82">
        <f t="shared" si="1"/>
        <v>62.458559999999999</v>
      </c>
      <c r="S16" s="83">
        <f t="shared" si="1"/>
        <v>47.023200000000003</v>
      </c>
      <c r="T16" s="81">
        <f t="shared" si="2"/>
        <v>110.4</v>
      </c>
      <c r="U16" s="82">
        <f t="shared" si="2"/>
        <v>104.06232000000001</v>
      </c>
      <c r="V16" s="82">
        <f t="shared" si="2"/>
        <v>97.724640000000008</v>
      </c>
      <c r="W16" s="82">
        <f t="shared" si="2"/>
        <v>85.049279999999996</v>
      </c>
      <c r="X16" s="82">
        <f t="shared" si="2"/>
        <v>72.373919999999998</v>
      </c>
      <c r="Y16" s="82">
        <f t="shared" si="2"/>
        <v>59.698560000000001</v>
      </c>
      <c r="Z16" s="83">
        <f t="shared" si="2"/>
        <v>47.023200000000003</v>
      </c>
      <c r="AA16" s="81">
        <f t="shared" si="3"/>
        <v>96.6</v>
      </c>
      <c r="AB16" s="82">
        <f t="shared" si="3"/>
        <v>91.642319999999998</v>
      </c>
      <c r="AC16" s="82">
        <f t="shared" si="3"/>
        <v>86.684640000000002</v>
      </c>
      <c r="AD16" s="82">
        <f t="shared" si="3"/>
        <v>76.769279999999995</v>
      </c>
      <c r="AE16" s="82">
        <f t="shared" si="3"/>
        <v>66.853920000000002</v>
      </c>
      <c r="AF16" s="82">
        <f t="shared" si="3"/>
        <v>56.938559999999995</v>
      </c>
      <c r="AG16" s="83">
        <f t="shared" si="3"/>
        <v>47.023200000000003</v>
      </c>
      <c r="AJ16" s="96">
        <f t="shared" si="7"/>
        <v>0</v>
      </c>
      <c r="AK16" s="97">
        <f t="shared" si="4"/>
        <v>6.592521739130433E-2</v>
      </c>
      <c r="AL16" s="97">
        <f t="shared" si="4"/>
        <v>0.13185043478260866</v>
      </c>
      <c r="AM16" s="97">
        <f t="shared" si="4"/>
        <v>0.26370086956521738</v>
      </c>
      <c r="AN16" s="97">
        <f t="shared" si="4"/>
        <v>0.39555130434782604</v>
      </c>
      <c r="AO16" s="97">
        <f t="shared" si="4"/>
        <v>0.52740173913043475</v>
      </c>
      <c r="AP16" s="98">
        <f t="shared" si="4"/>
        <v>0.65925217391304347</v>
      </c>
      <c r="AQ16" s="96">
        <f t="shared" si="4"/>
        <v>9.9999999999999978E-2</v>
      </c>
      <c r="AR16" s="97">
        <f t="shared" si="4"/>
        <v>0.15592521739130433</v>
      </c>
      <c r="AS16" s="97">
        <f t="shared" si="4"/>
        <v>0.21185043478260859</v>
      </c>
      <c r="AT16" s="97">
        <f t="shared" si="4"/>
        <v>0.32370086956521743</v>
      </c>
      <c r="AU16" s="97">
        <f t="shared" si="4"/>
        <v>0.43555130434782602</v>
      </c>
      <c r="AV16" s="97">
        <f t="shared" si="4"/>
        <v>0.54740173913043477</v>
      </c>
      <c r="AW16" s="98">
        <f t="shared" si="4"/>
        <v>0.65925217391304347</v>
      </c>
      <c r="AX16" s="96">
        <f t="shared" si="4"/>
        <v>0.19999999999999996</v>
      </c>
      <c r="AY16" s="97">
        <f t="shared" si="4"/>
        <v>0.24592521739130424</v>
      </c>
      <c r="AZ16" s="97">
        <f t="shared" si="4"/>
        <v>0.29185043478260864</v>
      </c>
      <c r="BA16" s="97">
        <f t="shared" si="4"/>
        <v>0.38370086956521743</v>
      </c>
      <c r="BB16" s="97">
        <f t="shared" si="4"/>
        <v>0.47555130434782611</v>
      </c>
      <c r="BC16" s="97">
        <f t="shared" si="4"/>
        <v>0.56740173913043479</v>
      </c>
      <c r="BD16" s="98">
        <f t="shared" si="4"/>
        <v>0.65925217391304347</v>
      </c>
      <c r="BE16" s="96">
        <f t="shared" si="4"/>
        <v>0.30000000000000004</v>
      </c>
      <c r="BF16" s="97">
        <f t="shared" si="4"/>
        <v>0.33592521739130438</v>
      </c>
      <c r="BG16" s="97">
        <f t="shared" si="4"/>
        <v>0.37185043478260871</v>
      </c>
      <c r="BH16" s="97">
        <f t="shared" si="4"/>
        <v>0.44370086956521743</v>
      </c>
      <c r="BI16" s="97">
        <f t="shared" si="4"/>
        <v>0.51555130434782603</v>
      </c>
      <c r="BJ16" s="97">
        <f t="shared" si="4"/>
        <v>0.58740173913043481</v>
      </c>
      <c r="BK16" s="98">
        <f t="shared" si="4"/>
        <v>0.65925217391304347</v>
      </c>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row>
    <row r="17" spans="1:93">
      <c r="A17" s="220">
        <v>0.2</v>
      </c>
      <c r="B17" s="74">
        <f>B$9*(1-A17)+B$49*A17</f>
        <v>554</v>
      </c>
      <c r="C17" s="119">
        <v>0</v>
      </c>
      <c r="D17" s="73">
        <f t="shared" si="5"/>
        <v>0.189</v>
      </c>
      <c r="E17" s="74">
        <f>B$17*D17</f>
        <v>104.706</v>
      </c>
      <c r="F17" s="75">
        <f t="shared" si="0"/>
        <v>138</v>
      </c>
      <c r="G17" s="76">
        <f t="shared" si="0"/>
        <v>134.67060000000001</v>
      </c>
      <c r="H17" s="76">
        <f t="shared" si="0"/>
        <v>131.34120000000001</v>
      </c>
      <c r="I17" s="76">
        <f t="shared" si="0"/>
        <v>124.6824</v>
      </c>
      <c r="J17" s="76">
        <f t="shared" si="0"/>
        <v>118.0236</v>
      </c>
      <c r="K17" s="76">
        <f t="shared" si="0"/>
        <v>111.3648</v>
      </c>
      <c r="L17" s="77">
        <f t="shared" si="0"/>
        <v>104.706</v>
      </c>
      <c r="M17" s="75">
        <f t="shared" si="1"/>
        <v>124.2</v>
      </c>
      <c r="N17" s="76">
        <f t="shared" si="1"/>
        <v>122.25060000000001</v>
      </c>
      <c r="O17" s="76">
        <f t="shared" si="1"/>
        <v>120.30120000000002</v>
      </c>
      <c r="P17" s="76">
        <f t="shared" si="1"/>
        <v>116.4024</v>
      </c>
      <c r="Q17" s="76">
        <f t="shared" si="1"/>
        <v>112.50360000000001</v>
      </c>
      <c r="R17" s="76">
        <f t="shared" si="1"/>
        <v>108.60480000000001</v>
      </c>
      <c r="S17" s="77">
        <f t="shared" si="1"/>
        <v>104.706</v>
      </c>
      <c r="T17" s="75">
        <f t="shared" si="2"/>
        <v>110.4</v>
      </c>
      <c r="U17" s="76">
        <f t="shared" si="2"/>
        <v>109.83060000000002</v>
      </c>
      <c r="V17" s="76">
        <f t="shared" si="2"/>
        <v>109.2612</v>
      </c>
      <c r="W17" s="76">
        <f t="shared" si="2"/>
        <v>108.1224</v>
      </c>
      <c r="X17" s="76">
        <f t="shared" si="2"/>
        <v>106.9836</v>
      </c>
      <c r="Y17" s="76">
        <f t="shared" si="2"/>
        <v>105.84480000000001</v>
      </c>
      <c r="Z17" s="77">
        <f t="shared" si="2"/>
        <v>104.706</v>
      </c>
      <c r="AA17" s="75">
        <f t="shared" si="3"/>
        <v>96.6</v>
      </c>
      <c r="AB17" s="76">
        <f t="shared" si="3"/>
        <v>97.410600000000002</v>
      </c>
      <c r="AC17" s="76">
        <f t="shared" si="3"/>
        <v>98.22120000000001</v>
      </c>
      <c r="AD17" s="76">
        <f t="shared" si="3"/>
        <v>99.842399999999998</v>
      </c>
      <c r="AE17" s="76">
        <f t="shared" si="3"/>
        <v>101.4636</v>
      </c>
      <c r="AF17" s="76">
        <f t="shared" si="3"/>
        <v>103.0848</v>
      </c>
      <c r="AG17" s="77">
        <f t="shared" si="3"/>
        <v>104.706</v>
      </c>
      <c r="AJ17" s="90">
        <f>(($F$9-F17)/$F$9)</f>
        <v>0</v>
      </c>
      <c r="AK17" s="91">
        <f t="shared" si="4"/>
        <v>2.4126086956521686E-2</v>
      </c>
      <c r="AL17" s="91">
        <f t="shared" si="4"/>
        <v>4.8252173913043372E-2</v>
      </c>
      <c r="AM17" s="91">
        <f t="shared" si="4"/>
        <v>9.6504347826086953E-2</v>
      </c>
      <c r="AN17" s="91">
        <f t="shared" si="4"/>
        <v>0.14475652173913042</v>
      </c>
      <c r="AO17" s="91">
        <f t="shared" si="4"/>
        <v>0.19300869565217391</v>
      </c>
      <c r="AP17" s="92">
        <f t="shared" si="4"/>
        <v>0.24126086956521736</v>
      </c>
      <c r="AQ17" s="90">
        <f t="shared" si="4"/>
        <v>9.9999999999999978E-2</v>
      </c>
      <c r="AR17" s="91">
        <f t="shared" si="4"/>
        <v>0.1141260869565217</v>
      </c>
      <c r="AS17" s="91">
        <f t="shared" si="4"/>
        <v>0.1282521739130433</v>
      </c>
      <c r="AT17" s="91">
        <f t="shared" si="4"/>
        <v>0.15650434782608696</v>
      </c>
      <c r="AU17" s="91">
        <f t="shared" si="4"/>
        <v>0.1847565217391304</v>
      </c>
      <c r="AV17" s="91">
        <f t="shared" si="4"/>
        <v>0.21300869565217384</v>
      </c>
      <c r="AW17" s="92">
        <f t="shared" si="4"/>
        <v>0.24126086956521736</v>
      </c>
      <c r="AX17" s="90">
        <f t="shared" si="4"/>
        <v>0.19999999999999996</v>
      </c>
      <c r="AY17" s="91">
        <f t="shared" si="4"/>
        <v>0.2041260869565216</v>
      </c>
      <c r="AZ17" s="91">
        <f t="shared" si="4"/>
        <v>0.20825217391304346</v>
      </c>
      <c r="BA17" s="91">
        <f t="shared" si="4"/>
        <v>0.21650434782608696</v>
      </c>
      <c r="BB17" s="91">
        <f t="shared" si="4"/>
        <v>0.22475652173913047</v>
      </c>
      <c r="BC17" s="91">
        <f t="shared" si="4"/>
        <v>0.23300869565217386</v>
      </c>
      <c r="BD17" s="92">
        <f t="shared" si="4"/>
        <v>0.24126086956521736</v>
      </c>
      <c r="BE17" s="90">
        <f t="shared" si="4"/>
        <v>0.30000000000000004</v>
      </c>
      <c r="BF17" s="91">
        <f t="shared" si="4"/>
        <v>0.2941260869565217</v>
      </c>
      <c r="BG17" s="91">
        <f t="shared" si="4"/>
        <v>0.28825217391304342</v>
      </c>
      <c r="BH17" s="91">
        <f t="shared" si="4"/>
        <v>0.27650434782608696</v>
      </c>
      <c r="BI17" s="91">
        <f t="shared" si="4"/>
        <v>0.26475652173913045</v>
      </c>
      <c r="BJ17" s="91">
        <f t="shared" si="4"/>
        <v>0.25300869565217388</v>
      </c>
      <c r="BK17" s="92">
        <f t="shared" si="4"/>
        <v>0.24126086956521736</v>
      </c>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row>
    <row r="18" spans="1:93">
      <c r="A18" s="221">
        <v>0.2</v>
      </c>
      <c r="B18" s="73"/>
      <c r="C18" s="120">
        <v>0.2</v>
      </c>
      <c r="D18" s="73">
        <f t="shared" si="5"/>
        <v>0.1512</v>
      </c>
      <c r="E18" s="74">
        <f t="shared" ref="E18:E20" si="8">B$17*D18</f>
        <v>83.764799999999994</v>
      </c>
      <c r="F18" s="78">
        <f t="shared" si="0"/>
        <v>138</v>
      </c>
      <c r="G18" s="79">
        <f t="shared" si="0"/>
        <v>132.57648</v>
      </c>
      <c r="H18" s="79">
        <f t="shared" si="0"/>
        <v>127.15296000000001</v>
      </c>
      <c r="I18" s="79">
        <f t="shared" si="0"/>
        <v>116.30591999999999</v>
      </c>
      <c r="J18" s="79">
        <f t="shared" si="0"/>
        <v>105.45887999999999</v>
      </c>
      <c r="K18" s="79">
        <f t="shared" si="0"/>
        <v>94.611839999999987</v>
      </c>
      <c r="L18" s="80">
        <f t="shared" si="0"/>
        <v>83.764799999999994</v>
      </c>
      <c r="M18" s="78">
        <f t="shared" si="1"/>
        <v>124.2</v>
      </c>
      <c r="N18" s="79">
        <f t="shared" si="1"/>
        <v>120.15648</v>
      </c>
      <c r="O18" s="79">
        <f t="shared" si="1"/>
        <v>116.11296000000002</v>
      </c>
      <c r="P18" s="79">
        <f t="shared" si="1"/>
        <v>108.02591999999999</v>
      </c>
      <c r="Q18" s="79">
        <f t="shared" si="1"/>
        <v>99.938880000000012</v>
      </c>
      <c r="R18" s="79">
        <f t="shared" si="1"/>
        <v>91.851839999999982</v>
      </c>
      <c r="S18" s="80">
        <f t="shared" si="1"/>
        <v>83.764799999999994</v>
      </c>
      <c r="T18" s="78">
        <f t="shared" si="2"/>
        <v>110.4</v>
      </c>
      <c r="U18" s="79">
        <f t="shared" si="2"/>
        <v>107.73648000000001</v>
      </c>
      <c r="V18" s="79">
        <f t="shared" si="2"/>
        <v>105.07296000000001</v>
      </c>
      <c r="W18" s="79">
        <f t="shared" si="2"/>
        <v>99.745919999999984</v>
      </c>
      <c r="X18" s="79">
        <f t="shared" si="2"/>
        <v>94.418880000000001</v>
      </c>
      <c r="Y18" s="79">
        <f t="shared" si="2"/>
        <v>89.091839999999991</v>
      </c>
      <c r="Z18" s="80">
        <f t="shared" si="2"/>
        <v>83.764799999999994</v>
      </c>
      <c r="AA18" s="78">
        <f t="shared" si="3"/>
        <v>96.6</v>
      </c>
      <c r="AB18" s="79">
        <f t="shared" si="3"/>
        <v>95.316479999999999</v>
      </c>
      <c r="AC18" s="79">
        <f t="shared" si="3"/>
        <v>94.032960000000003</v>
      </c>
      <c r="AD18" s="79">
        <f t="shared" si="3"/>
        <v>91.465919999999983</v>
      </c>
      <c r="AE18" s="79">
        <f t="shared" si="3"/>
        <v>88.898879999999991</v>
      </c>
      <c r="AF18" s="79">
        <f t="shared" si="3"/>
        <v>86.331839999999985</v>
      </c>
      <c r="AG18" s="80">
        <f t="shared" si="3"/>
        <v>83.764799999999994</v>
      </c>
      <c r="AJ18" s="93">
        <f t="shared" ref="AJ18:AV33" si="9">(($F$9-F18)/$F$9)</f>
        <v>0</v>
      </c>
      <c r="AK18" s="94">
        <f t="shared" si="4"/>
        <v>3.9300869565217368E-2</v>
      </c>
      <c r="AL18" s="94">
        <f t="shared" si="4"/>
        <v>7.8601739130434736E-2</v>
      </c>
      <c r="AM18" s="94">
        <f t="shared" si="4"/>
        <v>0.15720347826086967</v>
      </c>
      <c r="AN18" s="94">
        <f t="shared" si="4"/>
        <v>0.23580521739130439</v>
      </c>
      <c r="AO18" s="94">
        <f t="shared" si="4"/>
        <v>0.31440695652173922</v>
      </c>
      <c r="AP18" s="95">
        <f t="shared" si="4"/>
        <v>0.39300869565217394</v>
      </c>
      <c r="AQ18" s="93">
        <f t="shared" si="4"/>
        <v>9.9999999999999978E-2</v>
      </c>
      <c r="AR18" s="94">
        <f t="shared" si="4"/>
        <v>0.12930086956521739</v>
      </c>
      <c r="AS18" s="94">
        <f t="shared" si="4"/>
        <v>0.15860173913043468</v>
      </c>
      <c r="AT18" s="94">
        <f t="shared" si="4"/>
        <v>0.21720347826086966</v>
      </c>
      <c r="AU18" s="94">
        <f t="shared" si="4"/>
        <v>0.27580521739130426</v>
      </c>
      <c r="AV18" s="94">
        <f t="shared" si="4"/>
        <v>0.33440695652173924</v>
      </c>
      <c r="AW18" s="95">
        <f t="shared" ref="AW18:BK34" si="10">(($F$9-S18)/$F$9)</f>
        <v>0.39300869565217394</v>
      </c>
      <c r="AX18" s="93">
        <f t="shared" si="10"/>
        <v>0.19999999999999996</v>
      </c>
      <c r="AY18" s="94">
        <f t="shared" si="10"/>
        <v>0.2193008695652173</v>
      </c>
      <c r="AZ18" s="94">
        <f t="shared" si="10"/>
        <v>0.23860173913043473</v>
      </c>
      <c r="BA18" s="94">
        <f t="shared" si="10"/>
        <v>0.27720347826086966</v>
      </c>
      <c r="BB18" s="94">
        <f t="shared" si="10"/>
        <v>0.31580521739130435</v>
      </c>
      <c r="BC18" s="94">
        <f t="shared" si="10"/>
        <v>0.3544069565217392</v>
      </c>
      <c r="BD18" s="95">
        <f t="shared" si="10"/>
        <v>0.39300869565217394</v>
      </c>
      <c r="BE18" s="93">
        <f t="shared" si="10"/>
        <v>0.30000000000000004</v>
      </c>
      <c r="BF18" s="94">
        <f t="shared" si="10"/>
        <v>0.30930086956521741</v>
      </c>
      <c r="BG18" s="94">
        <f t="shared" si="10"/>
        <v>0.31860173913043477</v>
      </c>
      <c r="BH18" s="94">
        <f t="shared" si="10"/>
        <v>0.33720347826086972</v>
      </c>
      <c r="BI18" s="94">
        <f t="shared" si="10"/>
        <v>0.35580521739130438</v>
      </c>
      <c r="BJ18" s="94">
        <f t="shared" si="10"/>
        <v>0.37440695652173922</v>
      </c>
      <c r="BK18" s="95">
        <f t="shared" si="10"/>
        <v>0.39300869565217394</v>
      </c>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row>
    <row r="19" spans="1:93">
      <c r="A19" s="221">
        <v>0.2</v>
      </c>
      <c r="B19" s="73"/>
      <c r="C19" s="120">
        <v>0.4</v>
      </c>
      <c r="D19" s="73">
        <f t="shared" si="5"/>
        <v>0.1134</v>
      </c>
      <c r="E19" s="74">
        <f t="shared" si="8"/>
        <v>62.823599999999999</v>
      </c>
      <c r="F19" s="78">
        <f t="shared" si="0"/>
        <v>138</v>
      </c>
      <c r="G19" s="79">
        <f t="shared" si="0"/>
        <v>130.48236</v>
      </c>
      <c r="H19" s="79">
        <f t="shared" si="0"/>
        <v>122.96472</v>
      </c>
      <c r="I19" s="79">
        <f t="shared" si="0"/>
        <v>107.92944</v>
      </c>
      <c r="J19" s="79">
        <f t="shared" si="0"/>
        <v>92.894159999999999</v>
      </c>
      <c r="K19" s="79">
        <f t="shared" si="0"/>
        <v>77.858879999999999</v>
      </c>
      <c r="L19" s="80">
        <f t="shared" si="0"/>
        <v>62.823599999999999</v>
      </c>
      <c r="M19" s="78">
        <f t="shared" si="1"/>
        <v>124.2</v>
      </c>
      <c r="N19" s="79">
        <f t="shared" si="1"/>
        <v>118.06236</v>
      </c>
      <c r="O19" s="79">
        <f t="shared" si="1"/>
        <v>111.92472000000001</v>
      </c>
      <c r="P19" s="79">
        <f t="shared" si="1"/>
        <v>99.649439999999998</v>
      </c>
      <c r="Q19" s="79">
        <f t="shared" si="1"/>
        <v>87.374160000000003</v>
      </c>
      <c r="R19" s="79">
        <f t="shared" si="1"/>
        <v>75.098880000000008</v>
      </c>
      <c r="S19" s="80">
        <f t="shared" si="1"/>
        <v>62.823599999999999</v>
      </c>
      <c r="T19" s="78">
        <f t="shared" si="2"/>
        <v>110.4</v>
      </c>
      <c r="U19" s="79">
        <f t="shared" si="2"/>
        <v>105.64236000000001</v>
      </c>
      <c r="V19" s="79">
        <f t="shared" si="2"/>
        <v>100.88472000000002</v>
      </c>
      <c r="W19" s="79">
        <f t="shared" si="2"/>
        <v>91.369439999999997</v>
      </c>
      <c r="X19" s="79">
        <f t="shared" si="2"/>
        <v>81.854160000000007</v>
      </c>
      <c r="Y19" s="79">
        <f t="shared" si="2"/>
        <v>72.338880000000003</v>
      </c>
      <c r="Z19" s="80">
        <f t="shared" si="2"/>
        <v>62.823599999999999</v>
      </c>
      <c r="AA19" s="78">
        <f t="shared" si="3"/>
        <v>96.6</v>
      </c>
      <c r="AB19" s="79">
        <f t="shared" si="3"/>
        <v>93.222359999999995</v>
      </c>
      <c r="AC19" s="79">
        <f t="shared" si="3"/>
        <v>89.844719999999995</v>
      </c>
      <c r="AD19" s="79">
        <f t="shared" si="3"/>
        <v>83.089439999999996</v>
      </c>
      <c r="AE19" s="79">
        <f t="shared" si="3"/>
        <v>76.334159999999997</v>
      </c>
      <c r="AF19" s="79">
        <f t="shared" si="3"/>
        <v>69.578879999999998</v>
      </c>
      <c r="AG19" s="80">
        <f t="shared" si="3"/>
        <v>62.823599999999999</v>
      </c>
      <c r="AJ19" s="93">
        <f t="shared" si="9"/>
        <v>0</v>
      </c>
      <c r="AK19" s="94">
        <f t="shared" si="9"/>
        <v>5.4475652173913043E-2</v>
      </c>
      <c r="AL19" s="94">
        <f t="shared" si="9"/>
        <v>0.10895130434782609</v>
      </c>
      <c r="AM19" s="94">
        <f t="shared" si="9"/>
        <v>0.21790260869565217</v>
      </c>
      <c r="AN19" s="94">
        <f t="shared" si="9"/>
        <v>0.32685391304347827</v>
      </c>
      <c r="AO19" s="94">
        <f t="shared" si="9"/>
        <v>0.43580521739130434</v>
      </c>
      <c r="AP19" s="95">
        <f t="shared" si="9"/>
        <v>0.54475652173913047</v>
      </c>
      <c r="AQ19" s="93">
        <f t="shared" si="9"/>
        <v>9.9999999999999978E-2</v>
      </c>
      <c r="AR19" s="94">
        <f t="shared" si="9"/>
        <v>0.14447565217391306</v>
      </c>
      <c r="AS19" s="94">
        <f t="shared" si="9"/>
        <v>0.18895130434782603</v>
      </c>
      <c r="AT19" s="94">
        <f t="shared" si="9"/>
        <v>0.2779026086956522</v>
      </c>
      <c r="AU19" s="94">
        <f t="shared" si="9"/>
        <v>0.36685391304347825</v>
      </c>
      <c r="AV19" s="94">
        <f t="shared" si="9"/>
        <v>0.45580521739130431</v>
      </c>
      <c r="AW19" s="95">
        <f t="shared" si="10"/>
        <v>0.54475652173913047</v>
      </c>
      <c r="AX19" s="93">
        <f t="shared" si="10"/>
        <v>0.19999999999999996</v>
      </c>
      <c r="AY19" s="94">
        <f t="shared" si="10"/>
        <v>0.23447565217391297</v>
      </c>
      <c r="AZ19" s="94">
        <f t="shared" si="10"/>
        <v>0.26895130434782599</v>
      </c>
      <c r="BA19" s="94">
        <f t="shared" si="10"/>
        <v>0.3379026086956522</v>
      </c>
      <c r="BB19" s="94">
        <f t="shared" si="10"/>
        <v>0.40685391304347823</v>
      </c>
      <c r="BC19" s="94">
        <f t="shared" si="10"/>
        <v>0.47580521739130432</v>
      </c>
      <c r="BD19" s="95">
        <f t="shared" si="10"/>
        <v>0.54475652173913047</v>
      </c>
      <c r="BE19" s="93">
        <f t="shared" si="10"/>
        <v>0.30000000000000004</v>
      </c>
      <c r="BF19" s="94">
        <f t="shared" si="10"/>
        <v>0.32447565217391305</v>
      </c>
      <c r="BG19" s="94">
        <f t="shared" si="10"/>
        <v>0.34895130434782612</v>
      </c>
      <c r="BH19" s="94">
        <f t="shared" si="10"/>
        <v>0.39790260869565219</v>
      </c>
      <c r="BI19" s="94">
        <f t="shared" si="10"/>
        <v>0.44685391304347827</v>
      </c>
      <c r="BJ19" s="94">
        <f t="shared" si="10"/>
        <v>0.49580521739130434</v>
      </c>
      <c r="BK19" s="95">
        <f t="shared" si="10"/>
        <v>0.54475652173913047</v>
      </c>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row>
    <row r="20" spans="1:93" ht="15" thickBot="1">
      <c r="A20" s="222">
        <v>0.2</v>
      </c>
      <c r="B20" s="73"/>
      <c r="C20" s="121">
        <v>0.6</v>
      </c>
      <c r="D20" s="73">
        <f t="shared" si="5"/>
        <v>7.5600000000000001E-2</v>
      </c>
      <c r="E20" s="74">
        <f t="shared" si="8"/>
        <v>41.882399999999997</v>
      </c>
      <c r="F20" s="81">
        <f t="shared" si="0"/>
        <v>138</v>
      </c>
      <c r="G20" s="82">
        <f t="shared" si="0"/>
        <v>128.38824</v>
      </c>
      <c r="H20" s="82">
        <f t="shared" si="0"/>
        <v>118.77648000000001</v>
      </c>
      <c r="I20" s="82">
        <f t="shared" si="0"/>
        <v>99.552959999999999</v>
      </c>
      <c r="J20" s="82">
        <f t="shared" si="0"/>
        <v>80.329440000000005</v>
      </c>
      <c r="K20" s="82">
        <f t="shared" si="0"/>
        <v>61.10591999999999</v>
      </c>
      <c r="L20" s="83">
        <f t="shared" si="0"/>
        <v>41.882399999999997</v>
      </c>
      <c r="M20" s="81">
        <f t="shared" si="1"/>
        <v>124.2</v>
      </c>
      <c r="N20" s="82">
        <f t="shared" si="1"/>
        <v>115.96823999999999</v>
      </c>
      <c r="O20" s="82">
        <f t="shared" si="1"/>
        <v>107.73648000000001</v>
      </c>
      <c r="P20" s="82">
        <f t="shared" si="1"/>
        <v>91.272959999999998</v>
      </c>
      <c r="Q20" s="82">
        <f t="shared" si="1"/>
        <v>74.809440000000009</v>
      </c>
      <c r="R20" s="82">
        <f t="shared" si="1"/>
        <v>58.345919999999992</v>
      </c>
      <c r="S20" s="83">
        <f t="shared" si="1"/>
        <v>41.882399999999997</v>
      </c>
      <c r="T20" s="81">
        <f t="shared" si="2"/>
        <v>110.4</v>
      </c>
      <c r="U20" s="82">
        <f t="shared" si="2"/>
        <v>103.54824000000001</v>
      </c>
      <c r="V20" s="82">
        <f t="shared" si="2"/>
        <v>96.696480000000008</v>
      </c>
      <c r="W20" s="82">
        <f t="shared" si="2"/>
        <v>82.992959999999997</v>
      </c>
      <c r="X20" s="82">
        <f t="shared" si="2"/>
        <v>69.289439999999999</v>
      </c>
      <c r="Y20" s="82">
        <f t="shared" si="2"/>
        <v>55.585919999999987</v>
      </c>
      <c r="Z20" s="83">
        <f t="shared" si="2"/>
        <v>41.882399999999997</v>
      </c>
      <c r="AA20" s="81">
        <f t="shared" si="3"/>
        <v>96.6</v>
      </c>
      <c r="AB20" s="82">
        <f t="shared" si="3"/>
        <v>91.128239999999991</v>
      </c>
      <c r="AC20" s="82">
        <f t="shared" si="3"/>
        <v>85.656480000000002</v>
      </c>
      <c r="AD20" s="82">
        <f t="shared" si="3"/>
        <v>74.712959999999995</v>
      </c>
      <c r="AE20" s="82">
        <f t="shared" si="3"/>
        <v>63.769440000000003</v>
      </c>
      <c r="AF20" s="82">
        <f t="shared" si="3"/>
        <v>52.825919999999989</v>
      </c>
      <c r="AG20" s="83">
        <f t="shared" si="3"/>
        <v>41.882399999999997</v>
      </c>
      <c r="AJ20" s="96">
        <f t="shared" si="9"/>
        <v>0</v>
      </c>
      <c r="AK20" s="97">
        <f t="shared" si="9"/>
        <v>6.9650434782608725E-2</v>
      </c>
      <c r="AL20" s="97">
        <f t="shared" si="9"/>
        <v>0.13930086956521734</v>
      </c>
      <c r="AM20" s="97">
        <f t="shared" si="9"/>
        <v>0.27860173913043479</v>
      </c>
      <c r="AN20" s="97">
        <f t="shared" si="9"/>
        <v>0.41790260869565216</v>
      </c>
      <c r="AO20" s="97">
        <f t="shared" si="9"/>
        <v>0.55720347826086958</v>
      </c>
      <c r="AP20" s="98">
        <f t="shared" si="9"/>
        <v>0.69650434782608706</v>
      </c>
      <c r="AQ20" s="96">
        <f t="shared" si="9"/>
        <v>9.9999999999999978E-2</v>
      </c>
      <c r="AR20" s="97">
        <f t="shared" si="9"/>
        <v>0.15965043478260874</v>
      </c>
      <c r="AS20" s="97">
        <f t="shared" si="9"/>
        <v>0.2193008695652173</v>
      </c>
      <c r="AT20" s="97">
        <f t="shared" si="9"/>
        <v>0.33860173913043479</v>
      </c>
      <c r="AU20" s="97">
        <f t="shared" si="9"/>
        <v>0.45790260869565208</v>
      </c>
      <c r="AV20" s="97">
        <f t="shared" si="9"/>
        <v>0.5772034782608696</v>
      </c>
      <c r="AW20" s="98">
        <f t="shared" si="10"/>
        <v>0.69650434782608706</v>
      </c>
      <c r="AX20" s="96">
        <f t="shared" si="10"/>
        <v>0.19999999999999996</v>
      </c>
      <c r="AY20" s="97">
        <f t="shared" si="10"/>
        <v>0.24965043478260865</v>
      </c>
      <c r="AZ20" s="97">
        <f t="shared" si="10"/>
        <v>0.29930086956521734</v>
      </c>
      <c r="BA20" s="97">
        <f t="shared" si="10"/>
        <v>0.39860173913043478</v>
      </c>
      <c r="BB20" s="97">
        <f t="shared" si="10"/>
        <v>0.49790260869565217</v>
      </c>
      <c r="BC20" s="97">
        <f t="shared" si="10"/>
        <v>0.59720347826086961</v>
      </c>
      <c r="BD20" s="98">
        <f t="shared" si="10"/>
        <v>0.69650434782608706</v>
      </c>
      <c r="BE20" s="96">
        <f t="shared" si="10"/>
        <v>0.30000000000000004</v>
      </c>
      <c r="BF20" s="97">
        <f t="shared" si="10"/>
        <v>0.33965043478260876</v>
      </c>
      <c r="BG20" s="97">
        <f t="shared" si="10"/>
        <v>0.37930086956521736</v>
      </c>
      <c r="BH20" s="97">
        <f t="shared" si="10"/>
        <v>0.45860173913043484</v>
      </c>
      <c r="BI20" s="97">
        <f t="shared" si="10"/>
        <v>0.53790260869565221</v>
      </c>
      <c r="BJ20" s="97">
        <f t="shared" si="10"/>
        <v>0.61720347826086963</v>
      </c>
      <c r="BK20" s="98">
        <f t="shared" si="10"/>
        <v>0.69650434782608706</v>
      </c>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row>
    <row r="21" spans="1:93">
      <c r="A21" s="220">
        <v>0.3</v>
      </c>
      <c r="B21" s="74">
        <f>B$9*(1-A21)+B$49*A21</f>
        <v>485.99999999999994</v>
      </c>
      <c r="C21" s="119">
        <v>0</v>
      </c>
      <c r="D21" s="73">
        <f t="shared" si="5"/>
        <v>0.189</v>
      </c>
      <c r="E21" s="74">
        <f>B$21*D21</f>
        <v>91.853999999999985</v>
      </c>
      <c r="F21" s="75">
        <f t="shared" si="0"/>
        <v>138</v>
      </c>
      <c r="G21" s="76">
        <f t="shared" si="0"/>
        <v>133.3854</v>
      </c>
      <c r="H21" s="76">
        <f t="shared" si="0"/>
        <v>128.77080000000001</v>
      </c>
      <c r="I21" s="76">
        <f t="shared" si="0"/>
        <v>119.54159999999999</v>
      </c>
      <c r="J21" s="76">
        <f t="shared" si="0"/>
        <v>110.3124</v>
      </c>
      <c r="K21" s="76">
        <f t="shared" si="0"/>
        <v>101.08319999999999</v>
      </c>
      <c r="L21" s="77">
        <f t="shared" si="0"/>
        <v>91.853999999999985</v>
      </c>
      <c r="M21" s="75">
        <f t="shared" si="1"/>
        <v>124.2</v>
      </c>
      <c r="N21" s="76">
        <f t="shared" si="1"/>
        <v>120.9654</v>
      </c>
      <c r="O21" s="76">
        <f t="shared" si="1"/>
        <v>117.73080000000002</v>
      </c>
      <c r="P21" s="76">
        <f t="shared" si="1"/>
        <v>111.26159999999999</v>
      </c>
      <c r="Q21" s="76">
        <f t="shared" si="1"/>
        <v>104.79239999999999</v>
      </c>
      <c r="R21" s="76">
        <f t="shared" si="1"/>
        <v>98.323199999999986</v>
      </c>
      <c r="S21" s="77">
        <f t="shared" si="1"/>
        <v>91.853999999999985</v>
      </c>
      <c r="T21" s="75">
        <f t="shared" si="2"/>
        <v>110.4</v>
      </c>
      <c r="U21" s="76">
        <f t="shared" si="2"/>
        <v>108.54540000000001</v>
      </c>
      <c r="V21" s="76">
        <f t="shared" si="2"/>
        <v>106.69080000000001</v>
      </c>
      <c r="W21" s="76">
        <f t="shared" si="2"/>
        <v>102.98159999999999</v>
      </c>
      <c r="X21" s="76">
        <f t="shared" si="2"/>
        <v>99.27239999999999</v>
      </c>
      <c r="Y21" s="76">
        <f t="shared" si="2"/>
        <v>95.563199999999995</v>
      </c>
      <c r="Z21" s="77">
        <f t="shared" si="2"/>
        <v>91.853999999999985</v>
      </c>
      <c r="AA21" s="75">
        <f t="shared" si="3"/>
        <v>96.6</v>
      </c>
      <c r="AB21" s="76">
        <f t="shared" si="3"/>
        <v>96.125399999999999</v>
      </c>
      <c r="AC21" s="76">
        <f t="shared" si="3"/>
        <v>95.650800000000004</v>
      </c>
      <c r="AD21" s="76">
        <f t="shared" si="3"/>
        <v>94.701599999999985</v>
      </c>
      <c r="AE21" s="76">
        <f t="shared" si="3"/>
        <v>93.752399999999994</v>
      </c>
      <c r="AF21" s="76">
        <f t="shared" si="3"/>
        <v>92.80319999999999</v>
      </c>
      <c r="AG21" s="77">
        <f t="shared" si="3"/>
        <v>91.853999999999985</v>
      </c>
      <c r="AJ21" s="90">
        <f>(($F$9-F21)/$F$9)</f>
        <v>0</v>
      </c>
      <c r="AK21" s="91">
        <f t="shared" si="9"/>
        <v>3.3439130434782575E-2</v>
      </c>
      <c r="AL21" s="91">
        <f t="shared" si="9"/>
        <v>6.6878260869565151E-2</v>
      </c>
      <c r="AM21" s="91">
        <f t="shared" si="9"/>
        <v>0.13375652173913052</v>
      </c>
      <c r="AN21" s="91">
        <f t="shared" si="9"/>
        <v>0.20063478260869569</v>
      </c>
      <c r="AO21" s="91">
        <f t="shared" si="9"/>
        <v>0.26751304347826094</v>
      </c>
      <c r="AP21" s="92">
        <f t="shared" si="9"/>
        <v>0.33439130434782621</v>
      </c>
      <c r="AQ21" s="90">
        <f t="shared" si="9"/>
        <v>9.9999999999999978E-2</v>
      </c>
      <c r="AR21" s="91">
        <f t="shared" si="9"/>
        <v>0.12343913043478259</v>
      </c>
      <c r="AS21" s="91">
        <f t="shared" si="9"/>
        <v>0.1468782608695651</v>
      </c>
      <c r="AT21" s="91">
        <f t="shared" si="9"/>
        <v>0.19375652173913052</v>
      </c>
      <c r="AU21" s="91">
        <f t="shared" si="9"/>
        <v>0.24063478260869575</v>
      </c>
      <c r="AV21" s="91">
        <f t="shared" si="9"/>
        <v>0.28751304347826095</v>
      </c>
      <c r="AW21" s="92">
        <f t="shared" si="10"/>
        <v>0.33439130434782621</v>
      </c>
      <c r="AX21" s="90">
        <f t="shared" si="10"/>
        <v>0.19999999999999996</v>
      </c>
      <c r="AY21" s="91">
        <f t="shared" si="10"/>
        <v>0.21343913043478249</v>
      </c>
      <c r="AZ21" s="91">
        <f t="shared" si="10"/>
        <v>0.22687826086956514</v>
      </c>
      <c r="BA21" s="91">
        <f t="shared" si="10"/>
        <v>0.25375652173913055</v>
      </c>
      <c r="BB21" s="91">
        <f t="shared" si="10"/>
        <v>0.28063478260869573</v>
      </c>
      <c r="BC21" s="91">
        <f t="shared" si="10"/>
        <v>0.30751304347826092</v>
      </c>
      <c r="BD21" s="92">
        <f t="shared" si="10"/>
        <v>0.33439130434782621</v>
      </c>
      <c r="BE21" s="90">
        <f t="shared" si="10"/>
        <v>0.30000000000000004</v>
      </c>
      <c r="BF21" s="91">
        <f t="shared" si="10"/>
        <v>0.3034391304347826</v>
      </c>
      <c r="BG21" s="91">
        <f t="shared" si="10"/>
        <v>0.30687826086956521</v>
      </c>
      <c r="BH21" s="91">
        <f t="shared" si="10"/>
        <v>0.31375652173913054</v>
      </c>
      <c r="BI21" s="91">
        <f t="shared" si="10"/>
        <v>0.32063478260869571</v>
      </c>
      <c r="BJ21" s="91">
        <f t="shared" si="10"/>
        <v>0.32751304347826093</v>
      </c>
      <c r="BK21" s="92">
        <f t="shared" si="10"/>
        <v>0.33439130434782621</v>
      </c>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row>
    <row r="22" spans="1:93">
      <c r="A22" s="221">
        <v>0.3</v>
      </c>
      <c r="B22" s="73"/>
      <c r="C22" s="120">
        <v>0.2</v>
      </c>
      <c r="D22" s="73">
        <f t="shared" si="5"/>
        <v>0.1512</v>
      </c>
      <c r="E22" s="74">
        <f t="shared" ref="E22:E24" si="11">B$21*D22</f>
        <v>73.483199999999997</v>
      </c>
      <c r="F22" s="78">
        <f t="shared" si="0"/>
        <v>138</v>
      </c>
      <c r="G22" s="79">
        <f t="shared" si="0"/>
        <v>131.54831999999999</v>
      </c>
      <c r="H22" s="79">
        <f t="shared" si="0"/>
        <v>125.09664000000001</v>
      </c>
      <c r="I22" s="79">
        <f t="shared" si="0"/>
        <v>112.19328</v>
      </c>
      <c r="J22" s="79">
        <f t="shared" si="0"/>
        <v>99.289919999999995</v>
      </c>
      <c r="K22" s="79">
        <f t="shared" si="0"/>
        <v>86.386560000000003</v>
      </c>
      <c r="L22" s="80">
        <f t="shared" si="0"/>
        <v>73.483199999999997</v>
      </c>
      <c r="M22" s="78">
        <f t="shared" si="1"/>
        <v>124.2</v>
      </c>
      <c r="N22" s="79">
        <f t="shared" si="1"/>
        <v>119.12832</v>
      </c>
      <c r="O22" s="79">
        <f t="shared" si="1"/>
        <v>114.05664000000002</v>
      </c>
      <c r="P22" s="79">
        <f t="shared" si="1"/>
        <v>103.91328</v>
      </c>
      <c r="Q22" s="79">
        <f t="shared" si="1"/>
        <v>93.769920000000013</v>
      </c>
      <c r="R22" s="79">
        <f t="shared" si="1"/>
        <v>83.626559999999998</v>
      </c>
      <c r="S22" s="80">
        <f t="shared" si="1"/>
        <v>73.483199999999997</v>
      </c>
      <c r="T22" s="78">
        <f t="shared" si="2"/>
        <v>110.4</v>
      </c>
      <c r="U22" s="79">
        <f t="shared" si="2"/>
        <v>106.70832000000001</v>
      </c>
      <c r="V22" s="79">
        <f t="shared" si="2"/>
        <v>103.01664000000001</v>
      </c>
      <c r="W22" s="79">
        <f t="shared" si="2"/>
        <v>95.633279999999999</v>
      </c>
      <c r="X22" s="79">
        <f t="shared" si="2"/>
        <v>88.249920000000003</v>
      </c>
      <c r="Y22" s="79">
        <f t="shared" si="2"/>
        <v>80.866559999999993</v>
      </c>
      <c r="Z22" s="80">
        <f t="shared" si="2"/>
        <v>73.483199999999997</v>
      </c>
      <c r="AA22" s="78">
        <f t="shared" si="3"/>
        <v>96.6</v>
      </c>
      <c r="AB22" s="79">
        <f t="shared" si="3"/>
        <v>94.288319999999999</v>
      </c>
      <c r="AC22" s="79">
        <f t="shared" si="3"/>
        <v>91.976640000000003</v>
      </c>
      <c r="AD22" s="79">
        <f t="shared" si="3"/>
        <v>87.353279999999998</v>
      </c>
      <c r="AE22" s="79">
        <f t="shared" si="3"/>
        <v>82.729919999999993</v>
      </c>
      <c r="AF22" s="79">
        <f t="shared" si="3"/>
        <v>78.106560000000002</v>
      </c>
      <c r="AG22" s="80">
        <f t="shared" si="3"/>
        <v>73.483199999999997</v>
      </c>
      <c r="AJ22" s="93">
        <f t="shared" ref="AJ22:AJ24" si="12">(($F$9-F22)/$F$9)</f>
        <v>0</v>
      </c>
      <c r="AK22" s="94">
        <f t="shared" si="9"/>
        <v>4.6751304347826164E-2</v>
      </c>
      <c r="AL22" s="94">
        <f t="shared" si="9"/>
        <v>9.350260869565212E-2</v>
      </c>
      <c r="AM22" s="94">
        <f t="shared" si="9"/>
        <v>0.18700521739130432</v>
      </c>
      <c r="AN22" s="94">
        <f t="shared" si="9"/>
        <v>0.28050782608695657</v>
      </c>
      <c r="AO22" s="94">
        <f t="shared" si="9"/>
        <v>0.37401043478260865</v>
      </c>
      <c r="AP22" s="95">
        <f t="shared" si="9"/>
        <v>0.46751304347826089</v>
      </c>
      <c r="AQ22" s="93">
        <f t="shared" si="9"/>
        <v>9.9999999999999978E-2</v>
      </c>
      <c r="AR22" s="94">
        <f t="shared" si="9"/>
        <v>0.13675130434782606</v>
      </c>
      <c r="AS22" s="94">
        <f t="shared" si="9"/>
        <v>0.17350260869565207</v>
      </c>
      <c r="AT22" s="94">
        <f t="shared" si="9"/>
        <v>0.24700521739130435</v>
      </c>
      <c r="AU22" s="94">
        <f t="shared" si="9"/>
        <v>0.32050782608695644</v>
      </c>
      <c r="AV22" s="94">
        <f t="shared" si="9"/>
        <v>0.39401043478260872</v>
      </c>
      <c r="AW22" s="95">
        <f t="shared" si="10"/>
        <v>0.46751304347826089</v>
      </c>
      <c r="AX22" s="93">
        <f t="shared" si="10"/>
        <v>0.19999999999999996</v>
      </c>
      <c r="AY22" s="94">
        <f t="shared" si="10"/>
        <v>0.22675130434782598</v>
      </c>
      <c r="AZ22" s="94">
        <f t="shared" si="10"/>
        <v>0.25350260869565211</v>
      </c>
      <c r="BA22" s="94">
        <f t="shared" si="10"/>
        <v>0.30700521739130437</v>
      </c>
      <c r="BB22" s="94">
        <f t="shared" si="10"/>
        <v>0.36050782608695647</v>
      </c>
      <c r="BC22" s="94">
        <f t="shared" si="10"/>
        <v>0.41401043478260874</v>
      </c>
      <c r="BD22" s="95">
        <f t="shared" si="10"/>
        <v>0.46751304347826089</v>
      </c>
      <c r="BE22" s="93">
        <f t="shared" si="10"/>
        <v>0.30000000000000004</v>
      </c>
      <c r="BF22" s="94">
        <f t="shared" si="10"/>
        <v>0.31675130434782611</v>
      </c>
      <c r="BG22" s="94">
        <f t="shared" si="10"/>
        <v>0.33350260869565213</v>
      </c>
      <c r="BH22" s="94">
        <f t="shared" si="10"/>
        <v>0.36700521739130437</v>
      </c>
      <c r="BI22" s="94">
        <f t="shared" si="10"/>
        <v>0.40050782608695656</v>
      </c>
      <c r="BJ22" s="94">
        <f t="shared" si="10"/>
        <v>0.4340104347826087</v>
      </c>
      <c r="BK22" s="95">
        <f t="shared" si="10"/>
        <v>0.46751304347826089</v>
      </c>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row>
    <row r="23" spans="1:93">
      <c r="A23" s="221">
        <v>0.3</v>
      </c>
      <c r="B23" s="73"/>
      <c r="C23" s="120">
        <v>0.4</v>
      </c>
      <c r="D23" s="73">
        <f t="shared" si="5"/>
        <v>0.1134</v>
      </c>
      <c r="E23" s="74">
        <f t="shared" si="11"/>
        <v>55.112399999999994</v>
      </c>
      <c r="F23" s="78">
        <f t="shared" si="0"/>
        <v>138</v>
      </c>
      <c r="G23" s="79">
        <f t="shared" si="0"/>
        <v>129.71124</v>
      </c>
      <c r="H23" s="79">
        <f t="shared" si="0"/>
        <v>121.42248000000001</v>
      </c>
      <c r="I23" s="79">
        <f t="shared" si="0"/>
        <v>104.84496</v>
      </c>
      <c r="J23" s="79">
        <f t="shared" si="0"/>
        <v>88.267439999999993</v>
      </c>
      <c r="K23" s="79">
        <f t="shared" si="0"/>
        <v>71.689920000000001</v>
      </c>
      <c r="L23" s="80">
        <f t="shared" si="0"/>
        <v>55.112399999999994</v>
      </c>
      <c r="M23" s="78">
        <f t="shared" si="1"/>
        <v>124.2</v>
      </c>
      <c r="N23" s="79">
        <f t="shared" si="1"/>
        <v>117.29124</v>
      </c>
      <c r="O23" s="79">
        <f t="shared" si="1"/>
        <v>110.38248000000002</v>
      </c>
      <c r="P23" s="79">
        <f t="shared" si="1"/>
        <v>96.564959999999999</v>
      </c>
      <c r="Q23" s="79">
        <f t="shared" si="1"/>
        <v>82.747440000000012</v>
      </c>
      <c r="R23" s="79">
        <f t="shared" si="1"/>
        <v>68.929919999999996</v>
      </c>
      <c r="S23" s="80">
        <f t="shared" si="1"/>
        <v>55.112399999999994</v>
      </c>
      <c r="T23" s="78">
        <f t="shared" si="2"/>
        <v>110.4</v>
      </c>
      <c r="U23" s="79">
        <f t="shared" si="2"/>
        <v>104.87124000000001</v>
      </c>
      <c r="V23" s="79">
        <f t="shared" si="2"/>
        <v>99.342480000000009</v>
      </c>
      <c r="W23" s="79">
        <f t="shared" si="2"/>
        <v>88.284959999999998</v>
      </c>
      <c r="X23" s="79">
        <f t="shared" si="2"/>
        <v>77.227440000000001</v>
      </c>
      <c r="Y23" s="79">
        <f t="shared" si="2"/>
        <v>66.169919999999991</v>
      </c>
      <c r="Z23" s="80">
        <f t="shared" si="2"/>
        <v>55.112399999999994</v>
      </c>
      <c r="AA23" s="78">
        <f t="shared" si="3"/>
        <v>96.6</v>
      </c>
      <c r="AB23" s="79">
        <f t="shared" si="3"/>
        <v>92.451239999999999</v>
      </c>
      <c r="AC23" s="79">
        <f t="shared" si="3"/>
        <v>88.302480000000003</v>
      </c>
      <c r="AD23" s="79">
        <f t="shared" si="3"/>
        <v>80.004959999999997</v>
      </c>
      <c r="AE23" s="79">
        <f t="shared" si="3"/>
        <v>71.707439999999991</v>
      </c>
      <c r="AF23" s="79">
        <f t="shared" si="3"/>
        <v>63.409919999999993</v>
      </c>
      <c r="AG23" s="80">
        <f t="shared" si="3"/>
        <v>55.112399999999994</v>
      </c>
      <c r="AJ23" s="93">
        <f t="shared" si="12"/>
        <v>0</v>
      </c>
      <c r="AK23" s="94">
        <f t="shared" si="9"/>
        <v>6.0063478260869538E-2</v>
      </c>
      <c r="AL23" s="94">
        <f t="shared" si="9"/>
        <v>0.12012695652173908</v>
      </c>
      <c r="AM23" s="94">
        <f t="shared" si="9"/>
        <v>0.24025391304347826</v>
      </c>
      <c r="AN23" s="94">
        <f t="shared" si="9"/>
        <v>0.36038086956521742</v>
      </c>
      <c r="AO23" s="94">
        <f t="shared" si="9"/>
        <v>0.48050782608695652</v>
      </c>
      <c r="AP23" s="95">
        <f t="shared" si="9"/>
        <v>0.60063478260869574</v>
      </c>
      <c r="AQ23" s="93">
        <f t="shared" si="9"/>
        <v>9.9999999999999978E-2</v>
      </c>
      <c r="AR23" s="94">
        <f t="shared" si="9"/>
        <v>0.15006347826086955</v>
      </c>
      <c r="AS23" s="94">
        <f t="shared" si="9"/>
        <v>0.20012695652173901</v>
      </c>
      <c r="AT23" s="94">
        <f t="shared" si="9"/>
        <v>0.30025391304347826</v>
      </c>
      <c r="AU23" s="94">
        <f t="shared" si="9"/>
        <v>0.40038086956521729</v>
      </c>
      <c r="AV23" s="94">
        <f t="shared" si="9"/>
        <v>0.50050782608695654</v>
      </c>
      <c r="AW23" s="95">
        <f t="shared" si="10"/>
        <v>0.60063478260869574</v>
      </c>
      <c r="AX23" s="93">
        <f t="shared" si="10"/>
        <v>0.19999999999999996</v>
      </c>
      <c r="AY23" s="94">
        <f t="shared" si="10"/>
        <v>0.24006347826086946</v>
      </c>
      <c r="AZ23" s="94">
        <f t="shared" si="10"/>
        <v>0.28012695652173908</v>
      </c>
      <c r="BA23" s="94">
        <f t="shared" si="10"/>
        <v>0.36025391304347826</v>
      </c>
      <c r="BB23" s="94">
        <f t="shared" si="10"/>
        <v>0.44038086956521738</v>
      </c>
      <c r="BC23" s="94">
        <f t="shared" si="10"/>
        <v>0.52050782608695656</v>
      </c>
      <c r="BD23" s="95">
        <f t="shared" si="10"/>
        <v>0.60063478260869574</v>
      </c>
      <c r="BE23" s="93">
        <f t="shared" si="10"/>
        <v>0.30000000000000004</v>
      </c>
      <c r="BF23" s="94">
        <f t="shared" si="10"/>
        <v>0.33006347826086957</v>
      </c>
      <c r="BG23" s="94">
        <f t="shared" si="10"/>
        <v>0.36012695652173909</v>
      </c>
      <c r="BH23" s="94">
        <f t="shared" si="10"/>
        <v>0.42025391304347826</v>
      </c>
      <c r="BI23" s="94">
        <f t="shared" si="10"/>
        <v>0.48038086956521747</v>
      </c>
      <c r="BJ23" s="94">
        <f t="shared" si="10"/>
        <v>0.54050782608695658</v>
      </c>
      <c r="BK23" s="95">
        <f t="shared" si="10"/>
        <v>0.60063478260869574</v>
      </c>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row>
    <row r="24" spans="1:93" ht="15" thickBot="1">
      <c r="A24" s="222">
        <v>0.3</v>
      </c>
      <c r="B24" s="73"/>
      <c r="C24" s="121">
        <v>0.6</v>
      </c>
      <c r="D24" s="73">
        <f t="shared" si="5"/>
        <v>7.5600000000000001E-2</v>
      </c>
      <c r="E24" s="74">
        <f t="shared" si="11"/>
        <v>36.741599999999998</v>
      </c>
      <c r="F24" s="81">
        <f t="shared" si="0"/>
        <v>138</v>
      </c>
      <c r="G24" s="82">
        <f t="shared" si="0"/>
        <v>127.87416</v>
      </c>
      <c r="H24" s="82">
        <f t="shared" si="0"/>
        <v>117.74832000000001</v>
      </c>
      <c r="I24" s="82">
        <f t="shared" si="0"/>
        <v>97.496639999999999</v>
      </c>
      <c r="J24" s="82">
        <f t="shared" si="0"/>
        <v>77.244960000000006</v>
      </c>
      <c r="K24" s="82">
        <f t="shared" si="0"/>
        <v>56.993279999999999</v>
      </c>
      <c r="L24" s="83">
        <f t="shared" si="0"/>
        <v>36.741599999999998</v>
      </c>
      <c r="M24" s="81">
        <f t="shared" si="1"/>
        <v>124.2</v>
      </c>
      <c r="N24" s="82">
        <f t="shared" si="1"/>
        <v>115.45416</v>
      </c>
      <c r="O24" s="82">
        <f t="shared" si="1"/>
        <v>106.70832000000001</v>
      </c>
      <c r="P24" s="82">
        <f t="shared" si="1"/>
        <v>89.216639999999998</v>
      </c>
      <c r="Q24" s="82">
        <f t="shared" si="1"/>
        <v>71.72496000000001</v>
      </c>
      <c r="R24" s="82">
        <f t="shared" si="1"/>
        <v>54.233279999999993</v>
      </c>
      <c r="S24" s="83">
        <f t="shared" si="1"/>
        <v>36.741599999999998</v>
      </c>
      <c r="T24" s="81">
        <f t="shared" si="2"/>
        <v>110.4</v>
      </c>
      <c r="U24" s="82">
        <f t="shared" si="2"/>
        <v>103.03416000000001</v>
      </c>
      <c r="V24" s="82">
        <f t="shared" si="2"/>
        <v>95.668320000000008</v>
      </c>
      <c r="W24" s="82">
        <f t="shared" si="2"/>
        <v>80.936639999999997</v>
      </c>
      <c r="X24" s="82">
        <f t="shared" si="2"/>
        <v>66.20496</v>
      </c>
      <c r="Y24" s="82">
        <f t="shared" si="2"/>
        <v>51.473279999999995</v>
      </c>
      <c r="Z24" s="83">
        <f t="shared" si="2"/>
        <v>36.741599999999998</v>
      </c>
      <c r="AA24" s="81">
        <f t="shared" si="3"/>
        <v>96.6</v>
      </c>
      <c r="AB24" s="82">
        <f t="shared" si="3"/>
        <v>90.614159999999998</v>
      </c>
      <c r="AC24" s="82">
        <f t="shared" si="3"/>
        <v>84.628320000000002</v>
      </c>
      <c r="AD24" s="82">
        <f t="shared" si="3"/>
        <v>72.656639999999996</v>
      </c>
      <c r="AE24" s="82">
        <f t="shared" si="3"/>
        <v>60.684960000000004</v>
      </c>
      <c r="AF24" s="82">
        <f t="shared" si="3"/>
        <v>48.713279999999997</v>
      </c>
      <c r="AG24" s="83">
        <f t="shared" si="3"/>
        <v>36.741599999999998</v>
      </c>
      <c r="AJ24" s="96">
        <f t="shared" si="12"/>
        <v>0</v>
      </c>
      <c r="AK24" s="97">
        <f t="shared" si="9"/>
        <v>7.3375652173913022E-2</v>
      </c>
      <c r="AL24" s="97">
        <f t="shared" si="9"/>
        <v>0.14675130434782604</v>
      </c>
      <c r="AM24" s="97">
        <f t="shared" si="9"/>
        <v>0.2935026086956522</v>
      </c>
      <c r="AN24" s="97">
        <f t="shared" si="9"/>
        <v>0.44025391304347822</v>
      </c>
      <c r="AO24" s="97">
        <f t="shared" si="9"/>
        <v>0.5870052173913044</v>
      </c>
      <c r="AP24" s="98">
        <f t="shared" si="9"/>
        <v>0.73375652173913042</v>
      </c>
      <c r="AQ24" s="96">
        <f t="shared" si="9"/>
        <v>9.9999999999999978E-2</v>
      </c>
      <c r="AR24" s="97">
        <f t="shared" si="9"/>
        <v>0.16337565217391303</v>
      </c>
      <c r="AS24" s="97">
        <f t="shared" si="9"/>
        <v>0.22675130434782598</v>
      </c>
      <c r="AT24" s="97">
        <f t="shared" si="9"/>
        <v>0.3535026086956522</v>
      </c>
      <c r="AU24" s="97">
        <f t="shared" si="9"/>
        <v>0.4802539130434782</v>
      </c>
      <c r="AV24" s="97">
        <f t="shared" si="9"/>
        <v>0.60700521739130442</v>
      </c>
      <c r="AW24" s="98">
        <f t="shared" si="10"/>
        <v>0.73375652173913042</v>
      </c>
      <c r="AX24" s="96">
        <f t="shared" si="10"/>
        <v>0.19999999999999996</v>
      </c>
      <c r="AY24" s="97">
        <f t="shared" si="10"/>
        <v>0.25337565217391295</v>
      </c>
      <c r="AZ24" s="97">
        <f t="shared" si="10"/>
        <v>0.30675130434782605</v>
      </c>
      <c r="BA24" s="97">
        <f t="shared" si="10"/>
        <v>0.4135026086956522</v>
      </c>
      <c r="BB24" s="97">
        <f t="shared" si="10"/>
        <v>0.52025391304347823</v>
      </c>
      <c r="BC24" s="97">
        <f t="shared" si="10"/>
        <v>0.62700521739130444</v>
      </c>
      <c r="BD24" s="98">
        <f t="shared" si="10"/>
        <v>0.73375652173913042</v>
      </c>
      <c r="BE24" s="96">
        <f t="shared" si="10"/>
        <v>0.30000000000000004</v>
      </c>
      <c r="BF24" s="97">
        <f t="shared" si="10"/>
        <v>0.34337565217391308</v>
      </c>
      <c r="BG24" s="97">
        <f t="shared" si="10"/>
        <v>0.38675130434782606</v>
      </c>
      <c r="BH24" s="97">
        <f t="shared" si="10"/>
        <v>0.47350260869565219</v>
      </c>
      <c r="BI24" s="97">
        <f t="shared" si="10"/>
        <v>0.56025391304347827</v>
      </c>
      <c r="BJ24" s="97">
        <f t="shared" si="10"/>
        <v>0.64700521739130434</v>
      </c>
      <c r="BK24" s="98">
        <f t="shared" si="10"/>
        <v>0.73375652173913042</v>
      </c>
      <c r="BN24" s="94"/>
      <c r="BO24" s="94"/>
      <c r="BP24" s="94"/>
      <c r="BQ24" s="94"/>
      <c r="BR24" s="94"/>
      <c r="BS24" s="94"/>
      <c r="BT24" s="94"/>
      <c r="BU24" s="94"/>
      <c r="BV24" s="94"/>
      <c r="BW24" s="94"/>
      <c r="BX24" s="94"/>
      <c r="BY24" s="94"/>
      <c r="BZ24" s="94"/>
      <c r="CA24" s="94"/>
      <c r="CB24" s="94"/>
      <c r="CC24" s="94"/>
      <c r="CD24" s="94"/>
      <c r="CE24" s="94"/>
      <c r="CF24" s="94"/>
      <c r="CG24" s="94"/>
      <c r="CH24" s="94"/>
      <c r="CI24" s="94"/>
      <c r="CJ24" s="94"/>
      <c r="CK24" s="94"/>
      <c r="CL24" s="94"/>
      <c r="CM24" s="94"/>
      <c r="CN24" s="94"/>
      <c r="CO24" s="94"/>
    </row>
    <row r="25" spans="1:93">
      <c r="A25" s="220">
        <v>0.4</v>
      </c>
      <c r="B25" s="74">
        <f>B$9*(1-A25)+B$49*A25</f>
        <v>418</v>
      </c>
      <c r="C25" s="119">
        <v>0</v>
      </c>
      <c r="D25" s="73">
        <f t="shared" si="5"/>
        <v>0.189</v>
      </c>
      <c r="E25" s="74">
        <f>B$25*D25</f>
        <v>79.001999999999995</v>
      </c>
      <c r="F25" s="75">
        <f t="shared" ref="F25:L28" si="13">$F$5*(1-F$7)+$E25*(F$7)</f>
        <v>138</v>
      </c>
      <c r="G25" s="76">
        <f t="shared" si="13"/>
        <v>132.1002</v>
      </c>
      <c r="H25" s="76">
        <f t="shared" si="13"/>
        <v>126.2004</v>
      </c>
      <c r="I25" s="76">
        <f t="shared" si="13"/>
        <v>114.4008</v>
      </c>
      <c r="J25" s="76">
        <f t="shared" si="13"/>
        <v>102.60120000000001</v>
      </c>
      <c r="K25" s="76">
        <f t="shared" si="13"/>
        <v>90.801599999999993</v>
      </c>
      <c r="L25" s="77">
        <f t="shared" si="13"/>
        <v>79.001999999999995</v>
      </c>
      <c r="M25" s="75">
        <f t="shared" ref="M25:S41" si="14">$M$5*(1-M$7)+$E25*(M$7)</f>
        <v>124.2</v>
      </c>
      <c r="N25" s="76">
        <f t="shared" si="14"/>
        <v>119.6802</v>
      </c>
      <c r="O25" s="76">
        <f t="shared" si="14"/>
        <v>115.16040000000001</v>
      </c>
      <c r="P25" s="76">
        <f t="shared" si="14"/>
        <v>106.1208</v>
      </c>
      <c r="Q25" s="76">
        <f t="shared" si="14"/>
        <v>97.081199999999995</v>
      </c>
      <c r="R25" s="76">
        <f t="shared" si="14"/>
        <v>88.041599999999988</v>
      </c>
      <c r="S25" s="77">
        <f t="shared" si="14"/>
        <v>79.001999999999995</v>
      </c>
      <c r="T25" s="75">
        <f t="shared" ref="T25:Z41" si="15">$T$5*(1-T$7)+$E25*(T$7)</f>
        <v>110.4</v>
      </c>
      <c r="U25" s="76">
        <f t="shared" si="15"/>
        <v>107.26020000000001</v>
      </c>
      <c r="V25" s="76">
        <f t="shared" si="15"/>
        <v>104.1204</v>
      </c>
      <c r="W25" s="76">
        <f t="shared" si="15"/>
        <v>97.840800000000002</v>
      </c>
      <c r="X25" s="76">
        <f t="shared" si="15"/>
        <v>91.561199999999999</v>
      </c>
      <c r="Y25" s="76">
        <f t="shared" si="15"/>
        <v>85.281599999999997</v>
      </c>
      <c r="Z25" s="77">
        <f t="shared" si="15"/>
        <v>79.001999999999995</v>
      </c>
      <c r="AA25" s="75">
        <f t="shared" ref="AA25:AG41" si="16">$AA$5*(1-AA$7)+$E25*(AA$7)</f>
        <v>96.6</v>
      </c>
      <c r="AB25" s="76">
        <f t="shared" si="16"/>
        <v>94.840199999999996</v>
      </c>
      <c r="AC25" s="76">
        <f t="shared" si="16"/>
        <v>93.080399999999997</v>
      </c>
      <c r="AD25" s="76">
        <f t="shared" si="16"/>
        <v>89.5608</v>
      </c>
      <c r="AE25" s="76">
        <f t="shared" si="16"/>
        <v>86.041200000000003</v>
      </c>
      <c r="AF25" s="76">
        <f t="shared" si="16"/>
        <v>82.521599999999992</v>
      </c>
      <c r="AG25" s="77">
        <f t="shared" si="16"/>
        <v>79.001999999999995</v>
      </c>
      <c r="AJ25" s="90">
        <f>(($F$9-F25)/$F$9)</f>
        <v>0</v>
      </c>
      <c r="AK25" s="91">
        <f t="shared" si="9"/>
        <v>4.2752173913043472E-2</v>
      </c>
      <c r="AL25" s="91">
        <f t="shared" si="9"/>
        <v>8.5504347826086943E-2</v>
      </c>
      <c r="AM25" s="91">
        <f t="shared" si="9"/>
        <v>0.17100869565217389</v>
      </c>
      <c r="AN25" s="91">
        <f t="shared" si="9"/>
        <v>0.25651304347826082</v>
      </c>
      <c r="AO25" s="91">
        <f t="shared" si="9"/>
        <v>0.34201739130434788</v>
      </c>
      <c r="AP25" s="92">
        <f t="shared" si="9"/>
        <v>0.42752173913043484</v>
      </c>
      <c r="AQ25" s="90">
        <f t="shared" si="9"/>
        <v>9.9999999999999978E-2</v>
      </c>
      <c r="AR25" s="91">
        <f t="shared" si="9"/>
        <v>0.13275217391304348</v>
      </c>
      <c r="AS25" s="91">
        <f t="shared" si="9"/>
        <v>0.16550434782608689</v>
      </c>
      <c r="AT25" s="91">
        <f t="shared" si="9"/>
        <v>0.23100869565217388</v>
      </c>
      <c r="AU25" s="91">
        <f t="shared" si="9"/>
        <v>0.29651304347826091</v>
      </c>
      <c r="AV25" s="91">
        <f t="shared" si="9"/>
        <v>0.3620173913043479</v>
      </c>
      <c r="AW25" s="92">
        <f t="shared" si="10"/>
        <v>0.42752173913043484</v>
      </c>
      <c r="AX25" s="90">
        <f t="shared" si="10"/>
        <v>0.19999999999999996</v>
      </c>
      <c r="AY25" s="91">
        <f t="shared" si="10"/>
        <v>0.22275217391304339</v>
      </c>
      <c r="AZ25" s="91">
        <f t="shared" si="10"/>
        <v>0.24550434782608693</v>
      </c>
      <c r="BA25" s="91">
        <f t="shared" si="10"/>
        <v>0.29100869565217391</v>
      </c>
      <c r="BB25" s="91">
        <f t="shared" si="10"/>
        <v>0.33651304347826089</v>
      </c>
      <c r="BC25" s="91">
        <f t="shared" si="10"/>
        <v>0.38201739130434786</v>
      </c>
      <c r="BD25" s="92">
        <f t="shared" si="10"/>
        <v>0.42752173913043484</v>
      </c>
      <c r="BE25" s="90">
        <f t="shared" si="10"/>
        <v>0.30000000000000004</v>
      </c>
      <c r="BF25" s="91">
        <f t="shared" si="10"/>
        <v>0.3127521739130435</v>
      </c>
      <c r="BG25" s="91">
        <f t="shared" si="10"/>
        <v>0.32550434782608695</v>
      </c>
      <c r="BH25" s="91">
        <f t="shared" si="10"/>
        <v>0.35100869565217391</v>
      </c>
      <c r="BI25" s="91">
        <f t="shared" si="10"/>
        <v>0.37651304347826087</v>
      </c>
      <c r="BJ25" s="91">
        <f t="shared" si="10"/>
        <v>0.40201739130434788</v>
      </c>
      <c r="BK25" s="92">
        <f t="shared" si="10"/>
        <v>0.42752173913043484</v>
      </c>
      <c r="BN25" s="94"/>
      <c r="BO25" s="94"/>
      <c r="BP25" s="94"/>
      <c r="BQ25" s="94"/>
      <c r="BR25" s="94"/>
      <c r="BS25" s="94"/>
      <c r="BT25" s="94"/>
      <c r="BU25" s="94"/>
      <c r="BV25" s="94"/>
      <c r="BW25" s="94"/>
      <c r="BX25" s="94"/>
      <c r="BY25" s="94"/>
      <c r="BZ25" s="94"/>
      <c r="CA25" s="94"/>
      <c r="CB25" s="94"/>
      <c r="CC25" s="94"/>
      <c r="CD25" s="94"/>
      <c r="CE25" s="94"/>
      <c r="CF25" s="94"/>
      <c r="CG25" s="94"/>
      <c r="CH25" s="94"/>
      <c r="CI25" s="94"/>
      <c r="CJ25" s="94"/>
      <c r="CK25" s="94"/>
      <c r="CL25" s="94"/>
      <c r="CM25" s="94"/>
      <c r="CN25" s="94"/>
      <c r="CO25" s="94"/>
    </row>
    <row r="26" spans="1:93">
      <c r="A26" s="221">
        <v>0.4</v>
      </c>
      <c r="B26" s="73"/>
      <c r="C26" s="120">
        <v>0.2</v>
      </c>
      <c r="D26" s="73">
        <f t="shared" si="5"/>
        <v>0.1512</v>
      </c>
      <c r="E26" s="74">
        <f t="shared" ref="E26:E28" si="17">B$25*D26</f>
        <v>63.201599999999999</v>
      </c>
      <c r="F26" s="78">
        <f>$F$5*(1-F$7)+$E26*(F$7)</f>
        <v>138</v>
      </c>
      <c r="G26" s="79">
        <f>$F$5*(1-G$7)+$E26*(G$7)</f>
        <v>130.52016</v>
      </c>
      <c r="H26" s="79">
        <f t="shared" si="13"/>
        <v>123.04032000000001</v>
      </c>
      <c r="I26" s="79">
        <f t="shared" si="13"/>
        <v>108.08064</v>
      </c>
      <c r="J26" s="79">
        <f t="shared" si="13"/>
        <v>93.120959999999997</v>
      </c>
      <c r="K26" s="79">
        <f t="shared" si="13"/>
        <v>78.161280000000005</v>
      </c>
      <c r="L26" s="80">
        <f t="shared" si="13"/>
        <v>63.201599999999999</v>
      </c>
      <c r="M26" s="78">
        <f t="shared" si="14"/>
        <v>124.2</v>
      </c>
      <c r="N26" s="79">
        <f t="shared" si="14"/>
        <v>118.10016</v>
      </c>
      <c r="O26" s="79">
        <f t="shared" si="14"/>
        <v>112.00032000000002</v>
      </c>
      <c r="P26" s="79">
        <f t="shared" si="14"/>
        <v>99.800640000000001</v>
      </c>
      <c r="Q26" s="79">
        <f t="shared" si="14"/>
        <v>87.600960000000015</v>
      </c>
      <c r="R26" s="79">
        <f t="shared" si="14"/>
        <v>75.40128</v>
      </c>
      <c r="S26" s="80">
        <f t="shared" si="14"/>
        <v>63.201599999999999</v>
      </c>
      <c r="T26" s="78">
        <f t="shared" si="15"/>
        <v>110.4</v>
      </c>
      <c r="U26" s="79">
        <f t="shared" si="15"/>
        <v>105.68016000000001</v>
      </c>
      <c r="V26" s="79">
        <f t="shared" si="15"/>
        <v>100.96032000000001</v>
      </c>
      <c r="W26" s="79">
        <f t="shared" si="15"/>
        <v>91.52064</v>
      </c>
      <c r="X26" s="79">
        <f t="shared" si="15"/>
        <v>82.080960000000005</v>
      </c>
      <c r="Y26" s="79">
        <f t="shared" si="15"/>
        <v>72.641279999999995</v>
      </c>
      <c r="Z26" s="80">
        <f t="shared" si="15"/>
        <v>63.201599999999999</v>
      </c>
      <c r="AA26" s="78">
        <f t="shared" si="16"/>
        <v>96.6</v>
      </c>
      <c r="AB26" s="79">
        <f t="shared" si="16"/>
        <v>93.260159999999999</v>
      </c>
      <c r="AC26" s="79">
        <f t="shared" si="16"/>
        <v>89.920320000000004</v>
      </c>
      <c r="AD26" s="79">
        <f t="shared" si="16"/>
        <v>83.240639999999999</v>
      </c>
      <c r="AE26" s="79">
        <f t="shared" si="16"/>
        <v>76.560959999999994</v>
      </c>
      <c r="AF26" s="79">
        <f t="shared" si="16"/>
        <v>69.881280000000004</v>
      </c>
      <c r="AG26" s="80">
        <f t="shared" si="16"/>
        <v>63.201599999999999</v>
      </c>
      <c r="AJ26" s="93">
        <f t="shared" ref="AJ26:AJ28" si="18">(($F$9-F26)/$F$9)</f>
        <v>0</v>
      </c>
      <c r="AK26" s="94">
        <f t="shared" si="9"/>
        <v>5.4201739130434752E-2</v>
      </c>
      <c r="AL26" s="94">
        <f t="shared" si="9"/>
        <v>0.1084034782608695</v>
      </c>
      <c r="AM26" s="94">
        <f t="shared" si="9"/>
        <v>0.21680695652173912</v>
      </c>
      <c r="AN26" s="94">
        <f t="shared" si="9"/>
        <v>0.32521043478260869</v>
      </c>
      <c r="AO26" s="94">
        <f t="shared" si="9"/>
        <v>0.43361391304347824</v>
      </c>
      <c r="AP26" s="95">
        <f t="shared" si="9"/>
        <v>0.54201739130434778</v>
      </c>
      <c r="AQ26" s="93">
        <f t="shared" si="9"/>
        <v>9.9999999999999978E-2</v>
      </c>
      <c r="AR26" s="94">
        <f t="shared" si="9"/>
        <v>0.14420173913043477</v>
      </c>
      <c r="AS26" s="94">
        <f t="shared" si="9"/>
        <v>0.18840347826086945</v>
      </c>
      <c r="AT26" s="94">
        <f t="shared" si="9"/>
        <v>0.27680695652173914</v>
      </c>
      <c r="AU26" s="94">
        <f t="shared" si="9"/>
        <v>0.36521043478260856</v>
      </c>
      <c r="AV26" s="94">
        <f t="shared" si="9"/>
        <v>0.45361391304347826</v>
      </c>
      <c r="AW26" s="95">
        <f t="shared" si="10"/>
        <v>0.54201739130434778</v>
      </c>
      <c r="AX26" s="93">
        <f t="shared" si="10"/>
        <v>0.19999999999999996</v>
      </c>
      <c r="AY26" s="94">
        <f t="shared" si="10"/>
        <v>0.23420173913043468</v>
      </c>
      <c r="AZ26" s="94">
        <f t="shared" si="10"/>
        <v>0.26840347826086947</v>
      </c>
      <c r="BA26" s="94">
        <f t="shared" si="10"/>
        <v>0.33680695652173914</v>
      </c>
      <c r="BB26" s="94">
        <f t="shared" si="10"/>
        <v>0.40521043478260865</v>
      </c>
      <c r="BC26" s="94">
        <f t="shared" si="10"/>
        <v>0.47361391304347827</v>
      </c>
      <c r="BD26" s="95">
        <f t="shared" si="10"/>
        <v>0.54201739130434778</v>
      </c>
      <c r="BE26" s="93">
        <f t="shared" si="10"/>
        <v>0.30000000000000004</v>
      </c>
      <c r="BF26" s="94">
        <f t="shared" si="10"/>
        <v>0.32420173913043476</v>
      </c>
      <c r="BG26" s="94">
        <f t="shared" si="10"/>
        <v>0.34840347826086954</v>
      </c>
      <c r="BH26" s="94">
        <f t="shared" si="10"/>
        <v>0.39680695652173914</v>
      </c>
      <c r="BI26" s="94">
        <f t="shared" si="10"/>
        <v>0.44521043478260874</v>
      </c>
      <c r="BJ26" s="94">
        <f t="shared" si="10"/>
        <v>0.49361391304347824</v>
      </c>
      <c r="BK26" s="95">
        <f t="shared" si="10"/>
        <v>0.54201739130434778</v>
      </c>
      <c r="BN26" s="94"/>
      <c r="BO26" s="94"/>
      <c r="BP26" s="94"/>
      <c r="BQ26" s="94"/>
      <c r="BR26" s="94"/>
      <c r="BS26" s="94"/>
      <c r="BT26" s="94"/>
      <c r="BU26" s="94"/>
      <c r="BV26" s="94"/>
      <c r="BW26" s="94"/>
      <c r="BX26" s="94"/>
      <c r="BY26" s="94"/>
      <c r="BZ26" s="94"/>
      <c r="CA26" s="94"/>
      <c r="CB26" s="94"/>
      <c r="CC26" s="94"/>
      <c r="CD26" s="94"/>
      <c r="CE26" s="94"/>
      <c r="CF26" s="94"/>
      <c r="CG26" s="94"/>
      <c r="CH26" s="94"/>
      <c r="CI26" s="94"/>
      <c r="CJ26" s="94"/>
      <c r="CK26" s="94"/>
      <c r="CL26" s="94"/>
      <c r="CM26" s="94"/>
      <c r="CN26" s="94"/>
      <c r="CO26" s="94"/>
    </row>
    <row r="27" spans="1:93">
      <c r="A27" s="221">
        <v>0.4</v>
      </c>
      <c r="B27" s="73"/>
      <c r="C27" s="120">
        <v>0.4</v>
      </c>
      <c r="D27" s="73">
        <f t="shared" si="5"/>
        <v>0.1134</v>
      </c>
      <c r="E27" s="74">
        <f t="shared" si="17"/>
        <v>47.401200000000003</v>
      </c>
      <c r="F27" s="78">
        <f>$F$5*(1-F$7)+$E27*(F$7)</f>
        <v>138</v>
      </c>
      <c r="G27" s="79">
        <f>$F$5*(1-G$7)+$E27*(G$7)</f>
        <v>128.94012000000001</v>
      </c>
      <c r="H27" s="79">
        <f t="shared" si="13"/>
        <v>119.88024</v>
      </c>
      <c r="I27" s="79">
        <f t="shared" si="13"/>
        <v>101.76048</v>
      </c>
      <c r="J27" s="79">
        <f t="shared" si="13"/>
        <v>83.640720000000002</v>
      </c>
      <c r="K27" s="79">
        <f t="shared" si="13"/>
        <v>65.520960000000002</v>
      </c>
      <c r="L27" s="80">
        <f t="shared" si="13"/>
        <v>47.401200000000003</v>
      </c>
      <c r="M27" s="78">
        <f>$M$5*(1-M$7)+$E27*(M$7)</f>
        <v>124.2</v>
      </c>
      <c r="N27" s="79">
        <f>$M$5*(1-N$7)+$E27*(N$7)</f>
        <v>116.52012000000001</v>
      </c>
      <c r="O27" s="79">
        <f>$M$5*(1-O$7)+$E27*(O$7)</f>
        <v>108.84024000000001</v>
      </c>
      <c r="P27" s="79">
        <f t="shared" si="14"/>
        <v>93.48048</v>
      </c>
      <c r="Q27" s="79">
        <f t="shared" si="14"/>
        <v>78.120720000000006</v>
      </c>
      <c r="R27" s="79">
        <f t="shared" si="14"/>
        <v>62.760959999999997</v>
      </c>
      <c r="S27" s="80">
        <f t="shared" si="14"/>
        <v>47.401200000000003</v>
      </c>
      <c r="T27" s="78">
        <f>$T$5*(1-T$7)+$E27*(T$7)</f>
        <v>110.4</v>
      </c>
      <c r="U27" s="79">
        <f>$T$5*(1-U$7)+$E27*(U$7)</f>
        <v>104.10012000000002</v>
      </c>
      <c r="V27" s="79">
        <f>$T$5*(1-V$7)+$E27*(V$7)</f>
        <v>97.800240000000002</v>
      </c>
      <c r="W27" s="79">
        <f t="shared" si="15"/>
        <v>85.200479999999999</v>
      </c>
      <c r="X27" s="79">
        <f t="shared" si="15"/>
        <v>72.60072000000001</v>
      </c>
      <c r="Y27" s="79">
        <f t="shared" si="15"/>
        <v>60.000959999999992</v>
      </c>
      <c r="Z27" s="80">
        <f t="shared" si="15"/>
        <v>47.401200000000003</v>
      </c>
      <c r="AA27" s="78">
        <f>$AA$5*(1-AA$7)+$E27*(AA$7)</f>
        <v>96.6</v>
      </c>
      <c r="AB27" s="79">
        <f>$AA$5*(1-AB$7)+$E27*(AB$7)</f>
        <v>91.680120000000002</v>
      </c>
      <c r="AC27" s="79">
        <f>$AA$5*(1-AC$7)+$E27*(AC$7)</f>
        <v>86.760239999999996</v>
      </c>
      <c r="AD27" s="79">
        <f t="shared" si="16"/>
        <v>76.920479999999998</v>
      </c>
      <c r="AE27" s="79">
        <f t="shared" si="16"/>
        <v>67.080719999999999</v>
      </c>
      <c r="AF27" s="79">
        <f t="shared" si="16"/>
        <v>57.240959999999994</v>
      </c>
      <c r="AG27" s="80">
        <f t="shared" si="16"/>
        <v>47.401200000000003</v>
      </c>
      <c r="AJ27" s="93">
        <f t="shared" si="18"/>
        <v>0</v>
      </c>
      <c r="AK27" s="94">
        <f t="shared" si="9"/>
        <v>6.5651304347826039E-2</v>
      </c>
      <c r="AL27" s="94">
        <f t="shared" si="9"/>
        <v>0.13130260869565216</v>
      </c>
      <c r="AM27" s="94">
        <f t="shared" si="9"/>
        <v>0.26260521739130432</v>
      </c>
      <c r="AN27" s="94">
        <f t="shared" si="9"/>
        <v>0.39390782608695651</v>
      </c>
      <c r="AO27" s="94">
        <f t="shared" si="9"/>
        <v>0.52521043478260865</v>
      </c>
      <c r="AP27" s="95">
        <f t="shared" si="9"/>
        <v>0.65651304347826089</v>
      </c>
      <c r="AQ27" s="93">
        <f t="shared" si="9"/>
        <v>9.9999999999999978E-2</v>
      </c>
      <c r="AR27" s="94">
        <f t="shared" si="9"/>
        <v>0.15565130434782604</v>
      </c>
      <c r="AS27" s="94">
        <f t="shared" si="9"/>
        <v>0.21130260869565212</v>
      </c>
      <c r="AT27" s="94">
        <f t="shared" si="9"/>
        <v>0.32260521739130432</v>
      </c>
      <c r="AU27" s="94">
        <f t="shared" si="9"/>
        <v>0.43390782608695649</v>
      </c>
      <c r="AV27" s="94">
        <f t="shared" si="9"/>
        <v>0.54521043478260867</v>
      </c>
      <c r="AW27" s="95">
        <f t="shared" si="10"/>
        <v>0.65651304347826089</v>
      </c>
      <c r="AX27" s="93">
        <f t="shared" si="10"/>
        <v>0.19999999999999996</v>
      </c>
      <c r="AY27" s="94">
        <f t="shared" si="10"/>
        <v>0.24565130434782595</v>
      </c>
      <c r="AZ27" s="94">
        <f t="shared" si="10"/>
        <v>0.29130260869565217</v>
      </c>
      <c r="BA27" s="94">
        <f t="shared" si="10"/>
        <v>0.38260521739130438</v>
      </c>
      <c r="BB27" s="94">
        <f t="shared" si="10"/>
        <v>0.47390782608695647</v>
      </c>
      <c r="BC27" s="94">
        <f t="shared" si="10"/>
        <v>0.56521043478260879</v>
      </c>
      <c r="BD27" s="95">
        <f t="shared" si="10"/>
        <v>0.65651304347826089</v>
      </c>
      <c r="BE27" s="93">
        <f t="shared" si="10"/>
        <v>0.30000000000000004</v>
      </c>
      <c r="BF27" s="94">
        <f t="shared" si="10"/>
        <v>0.33565130434782608</v>
      </c>
      <c r="BG27" s="94">
        <f t="shared" si="10"/>
        <v>0.37130260869565218</v>
      </c>
      <c r="BH27" s="94">
        <f t="shared" si="10"/>
        <v>0.44260521739130437</v>
      </c>
      <c r="BI27" s="94">
        <f t="shared" si="10"/>
        <v>0.51390782608695651</v>
      </c>
      <c r="BJ27" s="94">
        <f t="shared" si="10"/>
        <v>0.5852104347826087</v>
      </c>
      <c r="BK27" s="95">
        <f t="shared" si="10"/>
        <v>0.65651304347826089</v>
      </c>
      <c r="BN27" s="94"/>
      <c r="BO27" s="94"/>
      <c r="BP27" s="94"/>
      <c r="BQ27" s="94"/>
      <c r="BR27" s="94"/>
      <c r="BS27" s="94"/>
      <c r="BT27" s="94"/>
      <c r="BU27" s="94"/>
      <c r="BV27" s="94"/>
      <c r="BW27" s="94"/>
      <c r="BX27" s="94"/>
      <c r="BY27" s="94"/>
      <c r="BZ27" s="94"/>
      <c r="CA27" s="94"/>
      <c r="CB27" s="94"/>
      <c r="CC27" s="94"/>
      <c r="CD27" s="94"/>
      <c r="CE27" s="94"/>
      <c r="CF27" s="94"/>
      <c r="CG27" s="94"/>
      <c r="CH27" s="94"/>
      <c r="CI27" s="94"/>
      <c r="CJ27" s="94"/>
      <c r="CK27" s="94"/>
      <c r="CL27" s="94"/>
      <c r="CM27" s="94"/>
      <c r="CN27" s="94"/>
      <c r="CO27" s="94"/>
    </row>
    <row r="28" spans="1:93" ht="15" thickBot="1">
      <c r="A28" s="222">
        <v>0.4</v>
      </c>
      <c r="B28" s="73"/>
      <c r="C28" s="121">
        <v>0.6</v>
      </c>
      <c r="D28" s="73">
        <f t="shared" si="5"/>
        <v>7.5600000000000001E-2</v>
      </c>
      <c r="E28" s="74">
        <f t="shared" si="17"/>
        <v>31.6008</v>
      </c>
      <c r="F28" s="81">
        <f t="shared" ref="F28:L32" si="19">$F$5*(1-F$7)+$E28*(F$7)</f>
        <v>138</v>
      </c>
      <c r="G28" s="82">
        <f t="shared" si="19"/>
        <v>127.36008</v>
      </c>
      <c r="H28" s="82">
        <f t="shared" si="13"/>
        <v>116.72016000000001</v>
      </c>
      <c r="I28" s="82">
        <f t="shared" si="13"/>
        <v>95.44032</v>
      </c>
      <c r="J28" s="82">
        <f t="shared" si="13"/>
        <v>74.160480000000007</v>
      </c>
      <c r="K28" s="82">
        <f t="shared" si="13"/>
        <v>52.88064</v>
      </c>
      <c r="L28" s="83">
        <f t="shared" si="13"/>
        <v>31.6008</v>
      </c>
      <c r="M28" s="81">
        <f t="shared" si="14"/>
        <v>124.2</v>
      </c>
      <c r="N28" s="82">
        <f t="shared" si="14"/>
        <v>114.94007999999999</v>
      </c>
      <c r="O28" s="82">
        <f t="shared" si="14"/>
        <v>105.68016000000001</v>
      </c>
      <c r="P28" s="82">
        <f t="shared" si="14"/>
        <v>87.160319999999999</v>
      </c>
      <c r="Q28" s="82">
        <f t="shared" si="14"/>
        <v>68.640480000000011</v>
      </c>
      <c r="R28" s="82">
        <f t="shared" si="14"/>
        <v>50.120639999999995</v>
      </c>
      <c r="S28" s="83">
        <f t="shared" si="14"/>
        <v>31.6008</v>
      </c>
      <c r="T28" s="81">
        <f t="shared" si="15"/>
        <v>110.4</v>
      </c>
      <c r="U28" s="82">
        <f t="shared" si="15"/>
        <v>102.52008000000001</v>
      </c>
      <c r="V28" s="82">
        <f t="shared" si="15"/>
        <v>94.640160000000009</v>
      </c>
      <c r="W28" s="82">
        <f t="shared" si="15"/>
        <v>78.880319999999998</v>
      </c>
      <c r="X28" s="82">
        <f t="shared" si="15"/>
        <v>63.120480000000001</v>
      </c>
      <c r="Y28" s="82">
        <f t="shared" si="15"/>
        <v>47.360639999999997</v>
      </c>
      <c r="Z28" s="83">
        <f t="shared" si="15"/>
        <v>31.6008</v>
      </c>
      <c r="AA28" s="81">
        <f t="shared" si="16"/>
        <v>96.6</v>
      </c>
      <c r="AB28" s="82">
        <f t="shared" si="16"/>
        <v>90.100079999999991</v>
      </c>
      <c r="AC28" s="82">
        <f t="shared" si="16"/>
        <v>83.600160000000002</v>
      </c>
      <c r="AD28" s="82">
        <f t="shared" si="16"/>
        <v>70.600319999999996</v>
      </c>
      <c r="AE28" s="82">
        <f t="shared" si="16"/>
        <v>57.600480000000005</v>
      </c>
      <c r="AF28" s="82">
        <f t="shared" si="16"/>
        <v>44.600639999999999</v>
      </c>
      <c r="AG28" s="83">
        <f t="shared" si="16"/>
        <v>31.6008</v>
      </c>
      <c r="AJ28" s="96">
        <f t="shared" si="18"/>
        <v>0</v>
      </c>
      <c r="AK28" s="97">
        <f t="shared" si="9"/>
        <v>7.7100869565217417E-2</v>
      </c>
      <c r="AL28" s="97">
        <f t="shared" si="9"/>
        <v>0.15420173913043472</v>
      </c>
      <c r="AM28" s="97">
        <f t="shared" si="9"/>
        <v>0.30840347826086956</v>
      </c>
      <c r="AN28" s="97">
        <f t="shared" si="9"/>
        <v>0.46260521739130428</v>
      </c>
      <c r="AO28" s="97">
        <f t="shared" si="9"/>
        <v>0.61680695652173911</v>
      </c>
      <c r="AP28" s="98">
        <f t="shared" si="9"/>
        <v>0.771008695652174</v>
      </c>
      <c r="AQ28" s="96">
        <f t="shared" si="9"/>
        <v>9.9999999999999978E-2</v>
      </c>
      <c r="AR28" s="97">
        <f t="shared" si="9"/>
        <v>0.16710086956521744</v>
      </c>
      <c r="AS28" s="97">
        <f t="shared" si="9"/>
        <v>0.23420173913043468</v>
      </c>
      <c r="AT28" s="97">
        <f t="shared" si="9"/>
        <v>0.36840347826086955</v>
      </c>
      <c r="AU28" s="97">
        <f t="shared" si="9"/>
        <v>0.50260521739130426</v>
      </c>
      <c r="AV28" s="97">
        <f t="shared" si="9"/>
        <v>0.63680695652173913</v>
      </c>
      <c r="AW28" s="98">
        <f t="shared" si="10"/>
        <v>0.771008695652174</v>
      </c>
      <c r="AX28" s="96">
        <f t="shared" si="10"/>
        <v>0.19999999999999996</v>
      </c>
      <c r="AY28" s="97">
        <f t="shared" si="10"/>
        <v>0.25710086956521733</v>
      </c>
      <c r="AZ28" s="97">
        <f t="shared" si="10"/>
        <v>0.3142017391304347</v>
      </c>
      <c r="BA28" s="97">
        <f t="shared" si="10"/>
        <v>0.42840347826086961</v>
      </c>
      <c r="BB28" s="97">
        <f t="shared" si="10"/>
        <v>0.5426052173913043</v>
      </c>
      <c r="BC28" s="97">
        <f t="shared" si="10"/>
        <v>0.65680695652173926</v>
      </c>
      <c r="BD28" s="98">
        <f t="shared" si="10"/>
        <v>0.771008695652174</v>
      </c>
      <c r="BE28" s="96">
        <f t="shared" si="10"/>
        <v>0.30000000000000004</v>
      </c>
      <c r="BF28" s="97">
        <f t="shared" si="10"/>
        <v>0.34710086956521746</v>
      </c>
      <c r="BG28" s="97">
        <f t="shared" si="10"/>
        <v>0.39420173913043477</v>
      </c>
      <c r="BH28" s="97">
        <f t="shared" si="10"/>
        <v>0.48840347826086961</v>
      </c>
      <c r="BI28" s="97">
        <f t="shared" si="10"/>
        <v>0.58260521739130433</v>
      </c>
      <c r="BJ28" s="97">
        <f t="shared" si="10"/>
        <v>0.67680695652173917</v>
      </c>
      <c r="BK28" s="98">
        <f t="shared" si="10"/>
        <v>0.771008695652174</v>
      </c>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row>
    <row r="29" spans="1:93">
      <c r="A29" s="220">
        <v>0.5</v>
      </c>
      <c r="B29" s="74">
        <f>B$9*(1-A29)+B$49*A29</f>
        <v>350</v>
      </c>
      <c r="C29" s="119">
        <v>0</v>
      </c>
      <c r="D29" s="73">
        <f t="shared" si="5"/>
        <v>0.189</v>
      </c>
      <c r="E29" s="74">
        <f>B$29*D29</f>
        <v>66.150000000000006</v>
      </c>
      <c r="F29" s="75">
        <f>$F$5*(1-F$7)+$E29*(F$7)</f>
        <v>138</v>
      </c>
      <c r="G29" s="76">
        <f t="shared" si="19"/>
        <v>130.815</v>
      </c>
      <c r="H29" s="76">
        <f t="shared" si="19"/>
        <v>123.63000000000001</v>
      </c>
      <c r="I29" s="76">
        <f t="shared" si="19"/>
        <v>109.26</v>
      </c>
      <c r="J29" s="76">
        <f t="shared" si="19"/>
        <v>94.890000000000015</v>
      </c>
      <c r="K29" s="76">
        <f t="shared" si="19"/>
        <v>80.52000000000001</v>
      </c>
      <c r="L29" s="77">
        <f t="shared" si="19"/>
        <v>66.150000000000006</v>
      </c>
      <c r="M29" s="75">
        <f t="shared" si="14"/>
        <v>124.2</v>
      </c>
      <c r="N29" s="76">
        <f t="shared" si="14"/>
        <v>118.395</v>
      </c>
      <c r="O29" s="76">
        <f t="shared" si="14"/>
        <v>112.59000000000002</v>
      </c>
      <c r="P29" s="76">
        <f t="shared" si="14"/>
        <v>100.98</v>
      </c>
      <c r="Q29" s="76">
        <f t="shared" si="14"/>
        <v>89.37</v>
      </c>
      <c r="R29" s="76">
        <f t="shared" si="14"/>
        <v>77.760000000000005</v>
      </c>
      <c r="S29" s="77">
        <f t="shared" si="14"/>
        <v>66.150000000000006</v>
      </c>
      <c r="T29" s="75">
        <f t="shared" si="15"/>
        <v>110.4</v>
      </c>
      <c r="U29" s="76">
        <f t="shared" si="15"/>
        <v>105.97500000000001</v>
      </c>
      <c r="V29" s="76">
        <f t="shared" si="15"/>
        <v>101.55000000000001</v>
      </c>
      <c r="W29" s="76">
        <f t="shared" si="15"/>
        <v>92.7</v>
      </c>
      <c r="X29" s="76">
        <f t="shared" si="15"/>
        <v>83.850000000000009</v>
      </c>
      <c r="Y29" s="76">
        <f t="shared" si="15"/>
        <v>75</v>
      </c>
      <c r="Z29" s="77">
        <f t="shared" si="15"/>
        <v>66.150000000000006</v>
      </c>
      <c r="AA29" s="75">
        <f t="shared" si="16"/>
        <v>96.6</v>
      </c>
      <c r="AB29" s="76">
        <f t="shared" si="16"/>
        <v>93.554999999999993</v>
      </c>
      <c r="AC29" s="76">
        <f t="shared" si="16"/>
        <v>90.51</v>
      </c>
      <c r="AD29" s="76">
        <f t="shared" si="16"/>
        <v>84.42</v>
      </c>
      <c r="AE29" s="76">
        <f t="shared" si="16"/>
        <v>78.330000000000013</v>
      </c>
      <c r="AF29" s="76">
        <f t="shared" si="16"/>
        <v>72.240000000000009</v>
      </c>
      <c r="AG29" s="77">
        <f t="shared" si="16"/>
        <v>66.150000000000006</v>
      </c>
      <c r="AJ29" s="90">
        <f>(($F$9-F29)/$F$9)</f>
        <v>0</v>
      </c>
      <c r="AK29" s="91">
        <f t="shared" si="9"/>
        <v>5.2065217391304361E-2</v>
      </c>
      <c r="AL29" s="91">
        <f t="shared" si="9"/>
        <v>0.10413043478260862</v>
      </c>
      <c r="AM29" s="91">
        <f t="shared" si="9"/>
        <v>0.20826086956521736</v>
      </c>
      <c r="AN29" s="91">
        <f t="shared" si="9"/>
        <v>0.31239130434782597</v>
      </c>
      <c r="AO29" s="91">
        <f t="shared" si="9"/>
        <v>0.41652173913043472</v>
      </c>
      <c r="AP29" s="92">
        <f t="shared" si="9"/>
        <v>0.52065217391304341</v>
      </c>
      <c r="AQ29" s="90">
        <f t="shared" si="9"/>
        <v>9.9999999999999978E-2</v>
      </c>
      <c r="AR29" s="91">
        <f t="shared" si="9"/>
        <v>0.14206521739130437</v>
      </c>
      <c r="AS29" s="91">
        <f t="shared" si="9"/>
        <v>0.18413043478260857</v>
      </c>
      <c r="AT29" s="91">
        <f t="shared" si="9"/>
        <v>0.26826086956521739</v>
      </c>
      <c r="AU29" s="91">
        <f t="shared" si="9"/>
        <v>0.35239130434782606</v>
      </c>
      <c r="AV29" s="91">
        <f t="shared" si="9"/>
        <v>0.43652173913043474</v>
      </c>
      <c r="AW29" s="92">
        <f t="shared" si="10"/>
        <v>0.52065217391304341</v>
      </c>
      <c r="AX29" s="90">
        <f t="shared" si="10"/>
        <v>0.19999999999999996</v>
      </c>
      <c r="AY29" s="91">
        <f t="shared" si="10"/>
        <v>0.23206521739130428</v>
      </c>
      <c r="AZ29" s="91">
        <f t="shared" si="10"/>
        <v>0.26413043478260861</v>
      </c>
      <c r="BA29" s="91">
        <f t="shared" si="10"/>
        <v>0.32826086956521738</v>
      </c>
      <c r="BB29" s="91">
        <f t="shared" si="10"/>
        <v>0.39239130434782604</v>
      </c>
      <c r="BC29" s="91">
        <f t="shared" si="10"/>
        <v>0.45652173913043476</v>
      </c>
      <c r="BD29" s="92">
        <f t="shared" si="10"/>
        <v>0.52065217391304341</v>
      </c>
      <c r="BE29" s="90">
        <f t="shared" si="10"/>
        <v>0.30000000000000004</v>
      </c>
      <c r="BF29" s="91">
        <f t="shared" si="10"/>
        <v>0.32206521739130439</v>
      </c>
      <c r="BG29" s="91">
        <f t="shared" si="10"/>
        <v>0.34413043478260869</v>
      </c>
      <c r="BH29" s="91">
        <f t="shared" si="10"/>
        <v>0.38826086956521738</v>
      </c>
      <c r="BI29" s="91">
        <f t="shared" si="10"/>
        <v>0.43239130434782602</v>
      </c>
      <c r="BJ29" s="91">
        <f t="shared" si="10"/>
        <v>0.47652173913043472</v>
      </c>
      <c r="BK29" s="92">
        <f t="shared" si="10"/>
        <v>0.52065217391304341</v>
      </c>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row>
    <row r="30" spans="1:93">
      <c r="A30" s="221">
        <v>0.5</v>
      </c>
      <c r="B30" s="72"/>
      <c r="C30" s="120">
        <v>0.2</v>
      </c>
      <c r="D30" s="73">
        <f t="shared" si="5"/>
        <v>0.1512</v>
      </c>
      <c r="E30" s="74">
        <f t="shared" ref="E30:E32" si="20">B$29*D30</f>
        <v>52.92</v>
      </c>
      <c r="F30" s="78">
        <f>$F$5*(1-F$7)+$E30*(F$7)</f>
        <v>138</v>
      </c>
      <c r="G30" s="79">
        <f>$F$5*(1-G$7)+$E30*(G$7)</f>
        <v>129.49199999999999</v>
      </c>
      <c r="H30" s="79">
        <f t="shared" si="19"/>
        <v>120.98400000000001</v>
      </c>
      <c r="I30" s="79">
        <f t="shared" si="19"/>
        <v>103.968</v>
      </c>
      <c r="J30" s="79">
        <f t="shared" si="19"/>
        <v>86.951999999999998</v>
      </c>
      <c r="K30" s="79">
        <f t="shared" si="19"/>
        <v>69.936000000000007</v>
      </c>
      <c r="L30" s="80">
        <f t="shared" si="19"/>
        <v>52.92</v>
      </c>
      <c r="M30" s="78">
        <f t="shared" si="14"/>
        <v>124.2</v>
      </c>
      <c r="N30" s="79">
        <f t="shared" si="14"/>
        <v>117.072</v>
      </c>
      <c r="O30" s="79">
        <f t="shared" si="14"/>
        <v>109.94400000000002</v>
      </c>
      <c r="P30" s="79">
        <f t="shared" si="14"/>
        <v>95.688000000000002</v>
      </c>
      <c r="Q30" s="79">
        <f t="shared" si="14"/>
        <v>81.432000000000002</v>
      </c>
      <c r="R30" s="79">
        <f t="shared" si="14"/>
        <v>67.176000000000002</v>
      </c>
      <c r="S30" s="80">
        <f t="shared" si="14"/>
        <v>52.92</v>
      </c>
      <c r="T30" s="78">
        <f t="shared" si="15"/>
        <v>110.4</v>
      </c>
      <c r="U30" s="79">
        <f t="shared" si="15"/>
        <v>104.65200000000002</v>
      </c>
      <c r="V30" s="79">
        <f t="shared" si="15"/>
        <v>98.904000000000011</v>
      </c>
      <c r="W30" s="79">
        <f t="shared" si="15"/>
        <v>87.408000000000001</v>
      </c>
      <c r="X30" s="79">
        <f t="shared" si="15"/>
        <v>75.912000000000006</v>
      </c>
      <c r="Y30" s="79">
        <f t="shared" si="15"/>
        <v>64.415999999999997</v>
      </c>
      <c r="Z30" s="80">
        <f t="shared" si="15"/>
        <v>52.92</v>
      </c>
      <c r="AA30" s="78">
        <f t="shared" si="16"/>
        <v>96.6</v>
      </c>
      <c r="AB30" s="79">
        <f t="shared" si="16"/>
        <v>92.231999999999999</v>
      </c>
      <c r="AC30" s="79">
        <f t="shared" si="16"/>
        <v>87.864000000000004</v>
      </c>
      <c r="AD30" s="79">
        <f t="shared" si="16"/>
        <v>79.128</v>
      </c>
      <c r="AE30" s="79">
        <f t="shared" si="16"/>
        <v>70.391999999999996</v>
      </c>
      <c r="AF30" s="79">
        <f t="shared" si="16"/>
        <v>61.655999999999999</v>
      </c>
      <c r="AG30" s="80">
        <f t="shared" si="16"/>
        <v>52.92</v>
      </c>
      <c r="AJ30" s="93">
        <f t="shared" ref="AJ30:AJ32" si="21">(($F$9-F30)/$F$9)</f>
        <v>0</v>
      </c>
      <c r="AK30" s="94">
        <f t="shared" si="9"/>
        <v>6.1652173913043548E-2</v>
      </c>
      <c r="AL30" s="94">
        <f t="shared" si="9"/>
        <v>0.12330434782608689</v>
      </c>
      <c r="AM30" s="94">
        <f t="shared" si="9"/>
        <v>0.24660869565217389</v>
      </c>
      <c r="AN30" s="94">
        <f t="shared" si="9"/>
        <v>0.36991304347826087</v>
      </c>
      <c r="AO30" s="94">
        <f t="shared" si="9"/>
        <v>0.49321739130434777</v>
      </c>
      <c r="AP30" s="95">
        <f t="shared" si="9"/>
        <v>0.61652173913043473</v>
      </c>
      <c r="AQ30" s="93">
        <f t="shared" si="9"/>
        <v>9.9999999999999978E-2</v>
      </c>
      <c r="AR30" s="94">
        <f t="shared" si="9"/>
        <v>0.15165217391304345</v>
      </c>
      <c r="AS30" s="94">
        <f t="shared" si="9"/>
        <v>0.20330434782608683</v>
      </c>
      <c r="AT30" s="94">
        <f t="shared" si="9"/>
        <v>0.30660869565217391</v>
      </c>
      <c r="AU30" s="94">
        <f t="shared" si="9"/>
        <v>0.40991304347826085</v>
      </c>
      <c r="AV30" s="94">
        <f t="shared" si="9"/>
        <v>0.51321739130434785</v>
      </c>
      <c r="AW30" s="95">
        <f t="shared" si="10"/>
        <v>0.61652173913043473</v>
      </c>
      <c r="AX30" s="93">
        <f t="shared" si="10"/>
        <v>0.19999999999999996</v>
      </c>
      <c r="AY30" s="94">
        <f t="shared" si="10"/>
        <v>0.24165217391304336</v>
      </c>
      <c r="AZ30" s="94">
        <f t="shared" si="10"/>
        <v>0.28330434782608688</v>
      </c>
      <c r="BA30" s="94">
        <f t="shared" si="10"/>
        <v>0.36660869565217391</v>
      </c>
      <c r="BB30" s="94">
        <f t="shared" si="10"/>
        <v>0.44991304347826083</v>
      </c>
      <c r="BC30" s="94">
        <f t="shared" si="10"/>
        <v>0.53321739130434787</v>
      </c>
      <c r="BD30" s="95">
        <f t="shared" si="10"/>
        <v>0.61652173913043473</v>
      </c>
      <c r="BE30" s="93">
        <f t="shared" si="10"/>
        <v>0.30000000000000004</v>
      </c>
      <c r="BF30" s="94">
        <f t="shared" si="10"/>
        <v>0.33165217391304347</v>
      </c>
      <c r="BG30" s="94">
        <f t="shared" si="10"/>
        <v>0.36330434782608695</v>
      </c>
      <c r="BH30" s="94">
        <f t="shared" si="10"/>
        <v>0.42660869565217391</v>
      </c>
      <c r="BI30" s="94">
        <f t="shared" si="10"/>
        <v>0.48991304347826092</v>
      </c>
      <c r="BJ30" s="94">
        <f t="shared" si="10"/>
        <v>0.55321739130434777</v>
      </c>
      <c r="BK30" s="95">
        <f t="shared" si="10"/>
        <v>0.61652173913043473</v>
      </c>
      <c r="BN30" s="94"/>
      <c r="BO30" s="94"/>
      <c r="BP30" s="94"/>
      <c r="BQ30" s="94"/>
      <c r="BR30" s="94"/>
      <c r="BS30" s="94"/>
      <c r="BT30" s="94"/>
      <c r="BU30" s="94"/>
      <c r="BV30" s="94"/>
      <c r="BW30" s="94"/>
      <c r="BX30" s="94"/>
      <c r="BY30" s="94"/>
      <c r="BZ30" s="94"/>
      <c r="CA30" s="94"/>
      <c r="CB30" s="94"/>
      <c r="CC30" s="94"/>
      <c r="CD30" s="94"/>
      <c r="CE30" s="94"/>
      <c r="CF30" s="94"/>
      <c r="CG30" s="94"/>
      <c r="CH30" s="94"/>
      <c r="CI30" s="94"/>
      <c r="CJ30" s="94"/>
      <c r="CK30" s="94"/>
      <c r="CL30" s="94"/>
      <c r="CM30" s="94"/>
      <c r="CN30" s="94"/>
      <c r="CO30" s="94"/>
    </row>
    <row r="31" spans="1:93">
      <c r="A31" s="221">
        <v>0.5</v>
      </c>
      <c r="B31" s="72"/>
      <c r="C31" s="120">
        <v>0.4</v>
      </c>
      <c r="D31" s="73">
        <f t="shared" si="5"/>
        <v>0.1134</v>
      </c>
      <c r="E31" s="74">
        <f t="shared" si="20"/>
        <v>39.69</v>
      </c>
      <c r="F31" s="78">
        <f t="shared" ref="F31:L46" si="22">$F$5*(1-F$7)+$E31*(F$7)</f>
        <v>138</v>
      </c>
      <c r="G31" s="79">
        <f t="shared" si="22"/>
        <v>128.16900000000001</v>
      </c>
      <c r="H31" s="79">
        <f t="shared" si="19"/>
        <v>118.33800000000001</v>
      </c>
      <c r="I31" s="79">
        <f t="shared" si="19"/>
        <v>98.676000000000002</v>
      </c>
      <c r="J31" s="79">
        <f t="shared" si="19"/>
        <v>79.013999999999996</v>
      </c>
      <c r="K31" s="79">
        <f t="shared" si="19"/>
        <v>59.35199999999999</v>
      </c>
      <c r="L31" s="80">
        <f t="shared" si="19"/>
        <v>39.69</v>
      </c>
      <c r="M31" s="78">
        <f t="shared" si="14"/>
        <v>124.2</v>
      </c>
      <c r="N31" s="79">
        <f t="shared" si="14"/>
        <v>115.749</v>
      </c>
      <c r="O31" s="79">
        <f t="shared" si="14"/>
        <v>107.29800000000002</v>
      </c>
      <c r="P31" s="79">
        <f t="shared" si="14"/>
        <v>90.396000000000001</v>
      </c>
      <c r="Q31" s="79">
        <f t="shared" si="14"/>
        <v>73.494</v>
      </c>
      <c r="R31" s="79">
        <f t="shared" si="14"/>
        <v>56.591999999999999</v>
      </c>
      <c r="S31" s="80">
        <f t="shared" si="14"/>
        <v>39.69</v>
      </c>
      <c r="T31" s="78">
        <f t="shared" si="15"/>
        <v>110.4</v>
      </c>
      <c r="U31" s="79">
        <f t="shared" si="15"/>
        <v>103.32900000000001</v>
      </c>
      <c r="V31" s="79">
        <f t="shared" si="15"/>
        <v>96.25800000000001</v>
      </c>
      <c r="W31" s="79">
        <f t="shared" si="15"/>
        <v>82.116</v>
      </c>
      <c r="X31" s="79">
        <f t="shared" si="15"/>
        <v>67.974000000000004</v>
      </c>
      <c r="Y31" s="79">
        <f t="shared" si="15"/>
        <v>53.831999999999994</v>
      </c>
      <c r="Z31" s="80">
        <f t="shared" si="15"/>
        <v>39.69</v>
      </c>
      <c r="AA31" s="78">
        <f t="shared" si="16"/>
        <v>96.6</v>
      </c>
      <c r="AB31" s="79">
        <f t="shared" si="16"/>
        <v>90.908999999999992</v>
      </c>
      <c r="AC31" s="79">
        <f t="shared" si="16"/>
        <v>85.218000000000004</v>
      </c>
      <c r="AD31" s="79">
        <f t="shared" si="16"/>
        <v>73.835999999999999</v>
      </c>
      <c r="AE31" s="79">
        <f t="shared" si="16"/>
        <v>62.453999999999994</v>
      </c>
      <c r="AF31" s="79">
        <f t="shared" si="16"/>
        <v>51.071999999999989</v>
      </c>
      <c r="AG31" s="80">
        <f t="shared" si="16"/>
        <v>39.69</v>
      </c>
      <c r="AJ31" s="93">
        <f t="shared" si="21"/>
        <v>0</v>
      </c>
      <c r="AK31" s="94">
        <f t="shared" si="9"/>
        <v>7.1239130434782527E-2</v>
      </c>
      <c r="AL31" s="94">
        <f t="shared" si="9"/>
        <v>0.14247826086956517</v>
      </c>
      <c r="AM31" s="94">
        <f t="shared" si="9"/>
        <v>0.28495652173913044</v>
      </c>
      <c r="AN31" s="94">
        <f t="shared" si="9"/>
        <v>0.42743478260869566</v>
      </c>
      <c r="AO31" s="94">
        <f t="shared" si="9"/>
        <v>0.56991304347826099</v>
      </c>
      <c r="AP31" s="95">
        <f t="shared" si="9"/>
        <v>0.71239130434782605</v>
      </c>
      <c r="AQ31" s="93">
        <f t="shared" si="9"/>
        <v>9.9999999999999978E-2</v>
      </c>
      <c r="AR31" s="94">
        <f t="shared" si="9"/>
        <v>0.16123913043478263</v>
      </c>
      <c r="AS31" s="94">
        <f t="shared" si="9"/>
        <v>0.2224782608695651</v>
      </c>
      <c r="AT31" s="94">
        <f t="shared" si="9"/>
        <v>0.34495652173913044</v>
      </c>
      <c r="AU31" s="94">
        <f t="shared" si="9"/>
        <v>0.46743478260869564</v>
      </c>
      <c r="AV31" s="94">
        <f t="shared" si="9"/>
        <v>0.5899130434782609</v>
      </c>
      <c r="AW31" s="95">
        <f t="shared" si="10"/>
        <v>0.71239130434782605</v>
      </c>
      <c r="AX31" s="93">
        <f t="shared" si="10"/>
        <v>0.19999999999999996</v>
      </c>
      <c r="AY31" s="94">
        <f t="shared" si="10"/>
        <v>0.25123913043478258</v>
      </c>
      <c r="AZ31" s="94">
        <f t="shared" si="10"/>
        <v>0.30247826086956514</v>
      </c>
      <c r="BA31" s="94">
        <f t="shared" si="10"/>
        <v>0.40495652173913044</v>
      </c>
      <c r="BB31" s="94">
        <f t="shared" si="10"/>
        <v>0.50743478260869568</v>
      </c>
      <c r="BC31" s="94">
        <f t="shared" si="10"/>
        <v>0.60991304347826092</v>
      </c>
      <c r="BD31" s="95">
        <f t="shared" si="10"/>
        <v>0.71239130434782605</v>
      </c>
      <c r="BE31" s="93">
        <f t="shared" si="10"/>
        <v>0.30000000000000004</v>
      </c>
      <c r="BF31" s="94">
        <f t="shared" si="10"/>
        <v>0.34123913043478266</v>
      </c>
      <c r="BG31" s="94">
        <f t="shared" si="10"/>
        <v>0.38247826086956521</v>
      </c>
      <c r="BH31" s="94">
        <f t="shared" si="10"/>
        <v>0.46495652173913044</v>
      </c>
      <c r="BI31" s="94">
        <f t="shared" si="10"/>
        <v>0.54743478260869571</v>
      </c>
      <c r="BJ31" s="94">
        <f t="shared" si="10"/>
        <v>0.62991304347826094</v>
      </c>
      <c r="BK31" s="95">
        <f t="shared" si="10"/>
        <v>0.71239130434782605</v>
      </c>
      <c r="BN31" s="94"/>
      <c r="BO31" s="94"/>
      <c r="BP31" s="94"/>
      <c r="BQ31" s="94"/>
      <c r="BR31" s="94"/>
      <c r="BS31" s="94"/>
      <c r="BT31" s="94"/>
      <c r="BU31" s="94"/>
      <c r="BV31" s="94"/>
      <c r="BW31" s="94"/>
      <c r="BX31" s="94"/>
      <c r="BY31" s="94"/>
      <c r="BZ31" s="94"/>
      <c r="CA31" s="94"/>
      <c r="CB31" s="94"/>
      <c r="CC31" s="94"/>
      <c r="CD31" s="94"/>
      <c r="CE31" s="94"/>
      <c r="CF31" s="94"/>
      <c r="CG31" s="94"/>
      <c r="CH31" s="94"/>
      <c r="CI31" s="94"/>
      <c r="CJ31" s="94"/>
      <c r="CK31" s="94"/>
      <c r="CL31" s="94"/>
      <c r="CM31" s="94"/>
      <c r="CN31" s="94"/>
      <c r="CO31" s="94"/>
    </row>
    <row r="32" spans="1:93" ht="15" thickBot="1">
      <c r="A32" s="222">
        <v>0.5</v>
      </c>
      <c r="B32" s="72"/>
      <c r="C32" s="121">
        <v>0.6</v>
      </c>
      <c r="D32" s="73">
        <f t="shared" si="5"/>
        <v>7.5600000000000001E-2</v>
      </c>
      <c r="E32" s="74">
        <f t="shared" si="20"/>
        <v>26.46</v>
      </c>
      <c r="F32" s="81">
        <f t="shared" si="22"/>
        <v>138</v>
      </c>
      <c r="G32" s="82">
        <f t="shared" si="22"/>
        <v>126.846</v>
      </c>
      <c r="H32" s="82">
        <f t="shared" si="19"/>
        <v>115.69200000000001</v>
      </c>
      <c r="I32" s="82">
        <f t="shared" si="19"/>
        <v>93.384</v>
      </c>
      <c r="J32" s="82">
        <f t="shared" si="19"/>
        <v>71.076000000000008</v>
      </c>
      <c r="K32" s="82">
        <f t="shared" si="19"/>
        <v>48.768000000000001</v>
      </c>
      <c r="L32" s="83">
        <f t="shared" si="19"/>
        <v>26.46</v>
      </c>
      <c r="M32" s="81">
        <f t="shared" si="14"/>
        <v>124.2</v>
      </c>
      <c r="N32" s="82">
        <f t="shared" si="14"/>
        <v>114.426</v>
      </c>
      <c r="O32" s="82">
        <f t="shared" si="14"/>
        <v>104.65200000000002</v>
      </c>
      <c r="P32" s="82">
        <f t="shared" si="14"/>
        <v>85.103999999999999</v>
      </c>
      <c r="Q32" s="82">
        <f t="shared" si="14"/>
        <v>65.556000000000012</v>
      </c>
      <c r="R32" s="82">
        <f t="shared" si="14"/>
        <v>46.007999999999996</v>
      </c>
      <c r="S32" s="83">
        <f t="shared" si="14"/>
        <v>26.46</v>
      </c>
      <c r="T32" s="81">
        <f t="shared" si="15"/>
        <v>110.4</v>
      </c>
      <c r="U32" s="82">
        <f t="shared" si="15"/>
        <v>102.00600000000001</v>
      </c>
      <c r="V32" s="82">
        <f t="shared" si="15"/>
        <v>93.612000000000009</v>
      </c>
      <c r="W32" s="82">
        <f t="shared" si="15"/>
        <v>76.823999999999998</v>
      </c>
      <c r="X32" s="82">
        <f t="shared" si="15"/>
        <v>60.036000000000001</v>
      </c>
      <c r="Y32" s="82">
        <f t="shared" si="15"/>
        <v>43.247999999999998</v>
      </c>
      <c r="Z32" s="83">
        <f t="shared" si="15"/>
        <v>26.46</v>
      </c>
      <c r="AA32" s="81">
        <f t="shared" si="16"/>
        <v>96.6</v>
      </c>
      <c r="AB32" s="82">
        <f t="shared" si="16"/>
        <v>89.585999999999999</v>
      </c>
      <c r="AC32" s="82">
        <f t="shared" si="16"/>
        <v>82.572000000000003</v>
      </c>
      <c r="AD32" s="82">
        <f t="shared" si="16"/>
        <v>68.543999999999997</v>
      </c>
      <c r="AE32" s="82">
        <f t="shared" si="16"/>
        <v>54.515999999999998</v>
      </c>
      <c r="AF32" s="82">
        <f t="shared" si="16"/>
        <v>40.488</v>
      </c>
      <c r="AG32" s="83">
        <f t="shared" si="16"/>
        <v>26.46</v>
      </c>
      <c r="AJ32" s="96">
        <f t="shared" si="21"/>
        <v>0</v>
      </c>
      <c r="AK32" s="97">
        <f t="shared" si="9"/>
        <v>8.0826086956521714E-2</v>
      </c>
      <c r="AL32" s="97">
        <f t="shared" si="9"/>
        <v>0.16165217391304343</v>
      </c>
      <c r="AM32" s="97">
        <f t="shared" si="9"/>
        <v>0.32330434782608697</v>
      </c>
      <c r="AN32" s="97">
        <f t="shared" si="9"/>
        <v>0.4849565217391304</v>
      </c>
      <c r="AO32" s="97">
        <f t="shared" si="9"/>
        <v>0.64660869565217394</v>
      </c>
      <c r="AP32" s="98">
        <f t="shared" si="9"/>
        <v>0.80826086956521737</v>
      </c>
      <c r="AQ32" s="96">
        <f t="shared" si="9"/>
        <v>9.9999999999999978E-2</v>
      </c>
      <c r="AR32" s="97">
        <f t="shared" si="9"/>
        <v>0.17082608695652174</v>
      </c>
      <c r="AS32" s="97">
        <f t="shared" si="9"/>
        <v>0.24165217391304336</v>
      </c>
      <c r="AT32" s="97">
        <f t="shared" si="9"/>
        <v>0.38330434782608697</v>
      </c>
      <c r="AU32" s="97">
        <f t="shared" si="9"/>
        <v>0.52495652173913032</v>
      </c>
      <c r="AV32" s="97">
        <f t="shared" si="9"/>
        <v>0.66660869565217395</v>
      </c>
      <c r="AW32" s="98">
        <f t="shared" si="10"/>
        <v>0.80826086956521737</v>
      </c>
      <c r="AX32" s="96">
        <f t="shared" si="10"/>
        <v>0.19999999999999996</v>
      </c>
      <c r="AY32" s="97">
        <f t="shared" si="10"/>
        <v>0.26082608695652165</v>
      </c>
      <c r="AZ32" s="97">
        <f t="shared" si="10"/>
        <v>0.3216521739130434</v>
      </c>
      <c r="BA32" s="97">
        <f t="shared" si="10"/>
        <v>0.44330434782608696</v>
      </c>
      <c r="BB32" s="97">
        <f t="shared" si="10"/>
        <v>0.56495652173913047</v>
      </c>
      <c r="BC32" s="97">
        <f t="shared" si="10"/>
        <v>0.68660869565217397</v>
      </c>
      <c r="BD32" s="98">
        <f t="shared" si="10"/>
        <v>0.80826086956521737</v>
      </c>
      <c r="BE32" s="96">
        <f t="shared" si="10"/>
        <v>0.30000000000000004</v>
      </c>
      <c r="BF32" s="97">
        <f t="shared" si="10"/>
        <v>0.35082608695652173</v>
      </c>
      <c r="BG32" s="97">
        <f t="shared" si="10"/>
        <v>0.40165217391304348</v>
      </c>
      <c r="BH32" s="97">
        <f t="shared" si="10"/>
        <v>0.50330434782608702</v>
      </c>
      <c r="BI32" s="97">
        <f t="shared" si="10"/>
        <v>0.6049565217391305</v>
      </c>
      <c r="BJ32" s="97">
        <f t="shared" si="10"/>
        <v>0.70660869565217388</v>
      </c>
      <c r="BK32" s="98">
        <f t="shared" si="10"/>
        <v>0.80826086956521737</v>
      </c>
      <c r="BN32" s="94"/>
      <c r="BO32" s="94"/>
      <c r="BP32" s="94"/>
      <c r="BQ32" s="94"/>
      <c r="BR32" s="94"/>
      <c r="BS32" s="94"/>
      <c r="BT32" s="94"/>
      <c r="BU32" s="94"/>
      <c r="BV32" s="94"/>
      <c r="BW32" s="94"/>
      <c r="BX32" s="94"/>
      <c r="BY32" s="94"/>
      <c r="BZ32" s="94"/>
      <c r="CA32" s="94"/>
      <c r="CB32" s="94"/>
      <c r="CC32" s="94"/>
      <c r="CD32" s="94"/>
      <c r="CE32" s="94"/>
      <c r="CF32" s="94"/>
      <c r="CG32" s="94"/>
      <c r="CH32" s="94"/>
      <c r="CI32" s="94"/>
      <c r="CJ32" s="94"/>
      <c r="CK32" s="94"/>
      <c r="CL32" s="94"/>
      <c r="CM32" s="94"/>
      <c r="CN32" s="94"/>
      <c r="CO32" s="94"/>
    </row>
    <row r="33" spans="1:93">
      <c r="A33" s="220">
        <v>0.6</v>
      </c>
      <c r="B33" s="74">
        <f>B$9*(1-A33)+B$49*A33</f>
        <v>282</v>
      </c>
      <c r="C33" s="119">
        <v>0</v>
      </c>
      <c r="D33" s="73">
        <f t="shared" si="5"/>
        <v>0.189</v>
      </c>
      <c r="E33" s="74">
        <f>B$33*D33</f>
        <v>53.298000000000002</v>
      </c>
      <c r="F33" s="75">
        <f>$F$5*(1-F$7)+$E33*(F$7)</f>
        <v>138</v>
      </c>
      <c r="G33" s="76">
        <f t="shared" si="22"/>
        <v>129.52979999999999</v>
      </c>
      <c r="H33" s="76">
        <f t="shared" si="22"/>
        <v>121.0596</v>
      </c>
      <c r="I33" s="76">
        <f t="shared" si="22"/>
        <v>104.11920000000001</v>
      </c>
      <c r="J33" s="76">
        <f t="shared" si="22"/>
        <v>87.178799999999995</v>
      </c>
      <c r="K33" s="76">
        <f t="shared" si="22"/>
        <v>70.238399999999999</v>
      </c>
      <c r="L33" s="77">
        <f t="shared" si="22"/>
        <v>53.298000000000002</v>
      </c>
      <c r="M33" s="75">
        <f t="shared" si="14"/>
        <v>124.2</v>
      </c>
      <c r="N33" s="76">
        <f t="shared" si="14"/>
        <v>117.10980000000001</v>
      </c>
      <c r="O33" s="76">
        <f t="shared" si="14"/>
        <v>110.01960000000001</v>
      </c>
      <c r="P33" s="76">
        <f t="shared" si="14"/>
        <v>95.839200000000005</v>
      </c>
      <c r="Q33" s="76">
        <f t="shared" si="14"/>
        <v>81.658800000000014</v>
      </c>
      <c r="R33" s="76">
        <f t="shared" si="14"/>
        <v>67.478399999999993</v>
      </c>
      <c r="S33" s="77">
        <f t="shared" si="14"/>
        <v>53.298000000000002</v>
      </c>
      <c r="T33" s="75">
        <f t="shared" si="15"/>
        <v>110.4</v>
      </c>
      <c r="U33" s="76">
        <f t="shared" si="15"/>
        <v>104.68980000000002</v>
      </c>
      <c r="V33" s="76">
        <f t="shared" si="15"/>
        <v>98.979600000000005</v>
      </c>
      <c r="W33" s="76">
        <f t="shared" si="15"/>
        <v>87.559200000000004</v>
      </c>
      <c r="X33" s="76">
        <f t="shared" si="15"/>
        <v>76.138800000000003</v>
      </c>
      <c r="Y33" s="76">
        <f t="shared" si="15"/>
        <v>64.718400000000003</v>
      </c>
      <c r="Z33" s="77">
        <f t="shared" si="15"/>
        <v>53.298000000000002</v>
      </c>
      <c r="AA33" s="75">
        <f t="shared" si="16"/>
        <v>96.6</v>
      </c>
      <c r="AB33" s="76">
        <f t="shared" si="16"/>
        <v>92.269800000000004</v>
      </c>
      <c r="AC33" s="76">
        <f t="shared" si="16"/>
        <v>87.939599999999999</v>
      </c>
      <c r="AD33" s="76">
        <f t="shared" si="16"/>
        <v>79.279200000000003</v>
      </c>
      <c r="AE33" s="76">
        <f t="shared" si="16"/>
        <v>70.618799999999993</v>
      </c>
      <c r="AF33" s="76">
        <f t="shared" si="16"/>
        <v>61.958399999999997</v>
      </c>
      <c r="AG33" s="77">
        <f t="shared" si="16"/>
        <v>53.298000000000002</v>
      </c>
      <c r="AJ33" s="90">
        <f>(($F$9-F33)/$F$9)</f>
        <v>0</v>
      </c>
      <c r="AK33" s="91">
        <f t="shared" si="9"/>
        <v>6.1378260869565257E-2</v>
      </c>
      <c r="AL33" s="91">
        <f t="shared" si="9"/>
        <v>0.12275652173913042</v>
      </c>
      <c r="AM33" s="91">
        <f t="shared" si="9"/>
        <v>0.24551304347826083</v>
      </c>
      <c r="AN33" s="91">
        <f t="shared" si="9"/>
        <v>0.36826956521739135</v>
      </c>
      <c r="AO33" s="91">
        <f t="shared" si="9"/>
        <v>0.49102608695652172</v>
      </c>
      <c r="AP33" s="92">
        <f t="shared" si="9"/>
        <v>0.61378260869565215</v>
      </c>
      <c r="AQ33" s="90">
        <f t="shared" si="9"/>
        <v>9.9999999999999978E-2</v>
      </c>
      <c r="AR33" s="91">
        <f t="shared" si="9"/>
        <v>0.15137826086956516</v>
      </c>
      <c r="AS33" s="91">
        <f t="shared" si="9"/>
        <v>0.20275652173913036</v>
      </c>
      <c r="AT33" s="91">
        <f t="shared" si="9"/>
        <v>0.3055130434782608</v>
      </c>
      <c r="AU33" s="91">
        <f t="shared" si="9"/>
        <v>0.40826956521739122</v>
      </c>
      <c r="AV33" s="91">
        <f t="shared" si="9"/>
        <v>0.51102608695652174</v>
      </c>
      <c r="AW33" s="92">
        <f t="shared" si="10"/>
        <v>0.61378260869565215</v>
      </c>
      <c r="AX33" s="90">
        <f t="shared" si="10"/>
        <v>0.19999999999999996</v>
      </c>
      <c r="AY33" s="91">
        <f t="shared" si="10"/>
        <v>0.24137826086956507</v>
      </c>
      <c r="AZ33" s="91">
        <f t="shared" si="10"/>
        <v>0.28275652173913041</v>
      </c>
      <c r="BA33" s="91">
        <f t="shared" si="10"/>
        <v>0.36551304347826086</v>
      </c>
      <c r="BB33" s="91">
        <f t="shared" si="10"/>
        <v>0.44826956521739125</v>
      </c>
      <c r="BC33" s="91">
        <f t="shared" si="10"/>
        <v>0.53102608695652176</v>
      </c>
      <c r="BD33" s="92">
        <f t="shared" si="10"/>
        <v>0.61378260869565215</v>
      </c>
      <c r="BE33" s="90">
        <f t="shared" si="10"/>
        <v>0.30000000000000004</v>
      </c>
      <c r="BF33" s="91">
        <f t="shared" si="10"/>
        <v>0.33137826086956518</v>
      </c>
      <c r="BG33" s="91">
        <f t="shared" si="10"/>
        <v>0.36275652173913042</v>
      </c>
      <c r="BH33" s="91">
        <f t="shared" si="10"/>
        <v>0.42551304347826086</v>
      </c>
      <c r="BI33" s="91">
        <f t="shared" si="10"/>
        <v>0.48826956521739134</v>
      </c>
      <c r="BJ33" s="91">
        <f t="shared" si="10"/>
        <v>0.55102608695652178</v>
      </c>
      <c r="BK33" s="92">
        <f t="shared" si="10"/>
        <v>0.61378260869565215</v>
      </c>
      <c r="BN33" s="94"/>
      <c r="BO33" s="94"/>
      <c r="BP33" s="94"/>
      <c r="BQ33" s="94"/>
      <c r="BR33" s="94"/>
      <c r="BS33" s="94"/>
      <c r="BT33" s="94"/>
      <c r="BU33" s="94"/>
      <c r="BV33" s="94"/>
      <c r="BW33" s="94"/>
      <c r="BX33" s="94"/>
      <c r="BY33" s="94"/>
      <c r="BZ33" s="94"/>
      <c r="CA33" s="94"/>
      <c r="CB33" s="94"/>
      <c r="CC33" s="94"/>
      <c r="CD33" s="94"/>
      <c r="CE33" s="94"/>
      <c r="CF33" s="94"/>
      <c r="CG33" s="94"/>
      <c r="CH33" s="94"/>
      <c r="CI33" s="94"/>
      <c r="CJ33" s="94"/>
      <c r="CK33" s="94"/>
      <c r="CL33" s="94"/>
      <c r="CM33" s="94"/>
      <c r="CN33" s="94"/>
      <c r="CO33" s="94"/>
    </row>
    <row r="34" spans="1:93">
      <c r="A34" s="221">
        <v>0.6</v>
      </c>
      <c r="B34" s="72"/>
      <c r="C34" s="120">
        <v>0.2</v>
      </c>
      <c r="D34" s="73">
        <f t="shared" si="5"/>
        <v>0.1512</v>
      </c>
      <c r="E34" s="74">
        <f t="shared" ref="E34:E36" si="23">B$33*D34</f>
        <v>42.638399999999997</v>
      </c>
      <c r="F34" s="78">
        <f>$F$5*(1-F$7)+$E34*(F$7)</f>
        <v>138</v>
      </c>
      <c r="G34" s="79">
        <f>$F$5*(1-G$7)+$E34*(G$7)</f>
        <v>128.46384</v>
      </c>
      <c r="H34" s="79">
        <f t="shared" si="22"/>
        <v>118.92768000000001</v>
      </c>
      <c r="I34" s="79">
        <f t="shared" si="22"/>
        <v>99.85535999999999</v>
      </c>
      <c r="J34" s="79">
        <f t="shared" si="22"/>
        <v>80.78304</v>
      </c>
      <c r="K34" s="79">
        <f t="shared" si="22"/>
        <v>61.710719999999995</v>
      </c>
      <c r="L34" s="80">
        <f t="shared" si="22"/>
        <v>42.638399999999997</v>
      </c>
      <c r="M34" s="78">
        <f t="shared" si="14"/>
        <v>124.2</v>
      </c>
      <c r="N34" s="79">
        <f t="shared" si="14"/>
        <v>116.04384</v>
      </c>
      <c r="O34" s="79">
        <f t="shared" si="14"/>
        <v>107.88768000000002</v>
      </c>
      <c r="P34" s="79">
        <f t="shared" si="14"/>
        <v>91.575359999999989</v>
      </c>
      <c r="Q34" s="79">
        <f t="shared" si="14"/>
        <v>75.263040000000004</v>
      </c>
      <c r="R34" s="79">
        <f t="shared" si="14"/>
        <v>58.950719999999997</v>
      </c>
      <c r="S34" s="80">
        <f t="shared" si="14"/>
        <v>42.638399999999997</v>
      </c>
      <c r="T34" s="78">
        <f t="shared" si="15"/>
        <v>110.4</v>
      </c>
      <c r="U34" s="79">
        <f t="shared" si="15"/>
        <v>103.62384000000002</v>
      </c>
      <c r="V34" s="79">
        <f t="shared" si="15"/>
        <v>96.847680000000011</v>
      </c>
      <c r="W34" s="79">
        <f t="shared" si="15"/>
        <v>83.295359999999988</v>
      </c>
      <c r="X34" s="79">
        <f t="shared" si="15"/>
        <v>69.743040000000008</v>
      </c>
      <c r="Y34" s="79">
        <f t="shared" si="15"/>
        <v>56.190719999999999</v>
      </c>
      <c r="Z34" s="80">
        <f t="shared" si="15"/>
        <v>42.638399999999997</v>
      </c>
      <c r="AA34" s="78">
        <f t="shared" si="16"/>
        <v>96.6</v>
      </c>
      <c r="AB34" s="79">
        <f t="shared" si="16"/>
        <v>91.20384</v>
      </c>
      <c r="AC34" s="79">
        <f t="shared" si="16"/>
        <v>85.807680000000005</v>
      </c>
      <c r="AD34" s="79">
        <f t="shared" si="16"/>
        <v>75.015359999999987</v>
      </c>
      <c r="AE34" s="79">
        <f t="shared" si="16"/>
        <v>64.223039999999997</v>
      </c>
      <c r="AF34" s="79">
        <f t="shared" si="16"/>
        <v>53.430719999999994</v>
      </c>
      <c r="AG34" s="80">
        <f t="shared" si="16"/>
        <v>42.638399999999997</v>
      </c>
      <c r="AJ34" s="93">
        <f t="shared" ref="AJ34:AY37" si="24">(($F$9-F34)/$F$9)</f>
        <v>0</v>
      </c>
      <c r="AK34" s="94">
        <f t="shared" si="24"/>
        <v>6.9102608695652143E-2</v>
      </c>
      <c r="AL34" s="94">
        <f t="shared" si="24"/>
        <v>0.13820521739130429</v>
      </c>
      <c r="AM34" s="94">
        <f t="shared" si="24"/>
        <v>0.27641043478260874</v>
      </c>
      <c r="AN34" s="94">
        <f t="shared" si="24"/>
        <v>0.41461565217391305</v>
      </c>
      <c r="AO34" s="94">
        <f t="shared" si="24"/>
        <v>0.55282086956521748</v>
      </c>
      <c r="AP34" s="95">
        <f t="shared" si="24"/>
        <v>0.69102608695652179</v>
      </c>
      <c r="AQ34" s="93">
        <f t="shared" si="24"/>
        <v>9.9999999999999978E-2</v>
      </c>
      <c r="AR34" s="94">
        <f t="shared" si="24"/>
        <v>0.15910260869565215</v>
      </c>
      <c r="AS34" s="94">
        <f t="shared" si="24"/>
        <v>0.21820521739130422</v>
      </c>
      <c r="AT34" s="94">
        <f t="shared" si="24"/>
        <v>0.33641043478260879</v>
      </c>
      <c r="AU34" s="94">
        <f t="shared" si="24"/>
        <v>0.45461565217391303</v>
      </c>
      <c r="AV34" s="94">
        <f t="shared" si="24"/>
        <v>0.57282086956521749</v>
      </c>
      <c r="AW34" s="95">
        <f t="shared" si="10"/>
        <v>0.69102608695652179</v>
      </c>
      <c r="AX34" s="93">
        <f t="shared" si="10"/>
        <v>0.19999999999999996</v>
      </c>
      <c r="AY34" s="94">
        <f t="shared" si="10"/>
        <v>0.24910260869565207</v>
      </c>
      <c r="AZ34" s="94">
        <f t="shared" si="10"/>
        <v>0.29820521739130429</v>
      </c>
      <c r="BA34" s="94">
        <f t="shared" si="10"/>
        <v>0.39641043478260879</v>
      </c>
      <c r="BB34" s="94">
        <f t="shared" si="10"/>
        <v>0.49461565217391301</v>
      </c>
      <c r="BC34" s="94">
        <f t="shared" si="10"/>
        <v>0.5928208695652174</v>
      </c>
      <c r="BD34" s="95">
        <f t="shared" si="10"/>
        <v>0.69102608695652179</v>
      </c>
      <c r="BE34" s="93">
        <f t="shared" si="10"/>
        <v>0.30000000000000004</v>
      </c>
      <c r="BF34" s="94">
        <f t="shared" si="10"/>
        <v>0.33910260869565217</v>
      </c>
      <c r="BG34" s="94">
        <f t="shared" si="10"/>
        <v>0.3782052173913043</v>
      </c>
      <c r="BH34" s="94">
        <f t="shared" si="10"/>
        <v>0.45641043478260879</v>
      </c>
      <c r="BI34" s="94">
        <f t="shared" si="10"/>
        <v>0.53461565217391305</v>
      </c>
      <c r="BJ34" s="94">
        <f t="shared" si="10"/>
        <v>0.61282086956521742</v>
      </c>
      <c r="BK34" s="95">
        <f t="shared" si="10"/>
        <v>0.69102608695652179</v>
      </c>
      <c r="BN34" s="94"/>
      <c r="BO34" s="94"/>
      <c r="BP34" s="94"/>
      <c r="BQ34" s="94"/>
      <c r="BR34" s="94"/>
      <c r="BS34" s="94"/>
      <c r="BT34" s="94"/>
      <c r="BU34" s="94"/>
      <c r="BV34" s="94"/>
      <c r="BW34" s="94"/>
      <c r="BX34" s="94"/>
      <c r="BY34" s="94"/>
      <c r="BZ34" s="94"/>
      <c r="CA34" s="94"/>
      <c r="CB34" s="94"/>
      <c r="CC34" s="94"/>
      <c r="CD34" s="94"/>
      <c r="CE34" s="94"/>
      <c r="CF34" s="94"/>
      <c r="CG34" s="94"/>
      <c r="CH34" s="94"/>
      <c r="CI34" s="94"/>
      <c r="CJ34" s="94"/>
      <c r="CK34" s="94"/>
      <c r="CL34" s="94"/>
      <c r="CM34" s="94"/>
      <c r="CN34" s="94"/>
      <c r="CO34" s="94"/>
    </row>
    <row r="35" spans="1:93">
      <c r="A35" s="221">
        <v>0.6</v>
      </c>
      <c r="B35" s="72"/>
      <c r="C35" s="120">
        <v>0.4</v>
      </c>
      <c r="D35" s="73">
        <f t="shared" si="5"/>
        <v>0.1134</v>
      </c>
      <c r="E35" s="74">
        <f t="shared" si="23"/>
        <v>31.9788</v>
      </c>
      <c r="F35" s="78">
        <f t="shared" ref="F35:G36" si="25">$F$5*(1-F$7)+$E35*(F$7)</f>
        <v>138</v>
      </c>
      <c r="G35" s="79">
        <f t="shared" si="25"/>
        <v>127.39788</v>
      </c>
      <c r="H35" s="79">
        <f t="shared" si="22"/>
        <v>116.79576</v>
      </c>
      <c r="I35" s="79">
        <f t="shared" si="22"/>
        <v>95.591520000000003</v>
      </c>
      <c r="J35" s="79">
        <f t="shared" si="22"/>
        <v>74.387280000000004</v>
      </c>
      <c r="K35" s="79">
        <f t="shared" si="22"/>
        <v>53.183039999999991</v>
      </c>
      <c r="L35" s="80">
        <f t="shared" si="22"/>
        <v>31.9788</v>
      </c>
      <c r="M35" s="78">
        <f t="shared" si="14"/>
        <v>124.2</v>
      </c>
      <c r="N35" s="79">
        <f t="shared" si="14"/>
        <v>114.97788</v>
      </c>
      <c r="O35" s="79">
        <f t="shared" si="14"/>
        <v>105.75576000000001</v>
      </c>
      <c r="P35" s="79">
        <f t="shared" si="14"/>
        <v>87.311520000000002</v>
      </c>
      <c r="Q35" s="79">
        <f t="shared" si="14"/>
        <v>68.867280000000008</v>
      </c>
      <c r="R35" s="79">
        <f t="shared" si="14"/>
        <v>50.42304</v>
      </c>
      <c r="S35" s="80">
        <f t="shared" si="14"/>
        <v>31.9788</v>
      </c>
      <c r="T35" s="78">
        <f t="shared" si="15"/>
        <v>110.4</v>
      </c>
      <c r="U35" s="79">
        <f t="shared" si="15"/>
        <v>102.55788000000001</v>
      </c>
      <c r="V35" s="79">
        <f t="shared" si="15"/>
        <v>94.715760000000003</v>
      </c>
      <c r="W35" s="79">
        <f t="shared" si="15"/>
        <v>79.03152</v>
      </c>
      <c r="X35" s="79">
        <f t="shared" si="15"/>
        <v>63.347279999999998</v>
      </c>
      <c r="Y35" s="79">
        <f t="shared" si="15"/>
        <v>47.663039999999995</v>
      </c>
      <c r="Z35" s="80">
        <f t="shared" si="15"/>
        <v>31.9788</v>
      </c>
      <c r="AA35" s="78">
        <f t="shared" si="16"/>
        <v>96.6</v>
      </c>
      <c r="AB35" s="79">
        <f t="shared" si="16"/>
        <v>90.137879999999996</v>
      </c>
      <c r="AC35" s="79">
        <f t="shared" si="16"/>
        <v>83.675759999999997</v>
      </c>
      <c r="AD35" s="79">
        <f t="shared" si="16"/>
        <v>70.751519999999999</v>
      </c>
      <c r="AE35" s="79">
        <f t="shared" si="16"/>
        <v>57.827280000000002</v>
      </c>
      <c r="AF35" s="79">
        <f t="shared" si="16"/>
        <v>44.90303999999999</v>
      </c>
      <c r="AG35" s="80">
        <f t="shared" si="16"/>
        <v>31.9788</v>
      </c>
      <c r="AJ35" s="93">
        <f t="shared" si="24"/>
        <v>0</v>
      </c>
      <c r="AK35" s="94">
        <f t="shared" si="24"/>
        <v>7.6826956521739126E-2</v>
      </c>
      <c r="AL35" s="94">
        <f t="shared" si="24"/>
        <v>0.15365391304347825</v>
      </c>
      <c r="AM35" s="94">
        <f t="shared" si="24"/>
        <v>0.3073078260869565</v>
      </c>
      <c r="AN35" s="94">
        <f t="shared" si="24"/>
        <v>0.46096173913043476</v>
      </c>
      <c r="AO35" s="94">
        <f t="shared" si="24"/>
        <v>0.61461565217391312</v>
      </c>
      <c r="AP35" s="95">
        <f t="shared" si="24"/>
        <v>0.7682695652173912</v>
      </c>
      <c r="AQ35" s="93">
        <f t="shared" si="24"/>
        <v>9.9999999999999978E-2</v>
      </c>
      <c r="AR35" s="94">
        <f t="shared" si="24"/>
        <v>0.16682695652173915</v>
      </c>
      <c r="AS35" s="94">
        <f t="shared" si="24"/>
        <v>0.23365391304347818</v>
      </c>
      <c r="AT35" s="94">
        <f t="shared" si="24"/>
        <v>0.3673078260869565</v>
      </c>
      <c r="AU35" s="94">
        <f t="shared" si="24"/>
        <v>0.50096173913043474</v>
      </c>
      <c r="AV35" s="94">
        <f t="shared" si="24"/>
        <v>0.63461565217391303</v>
      </c>
      <c r="AW35" s="95">
        <f t="shared" si="24"/>
        <v>0.7682695652173912</v>
      </c>
      <c r="AX35" s="93">
        <f t="shared" si="24"/>
        <v>0.19999999999999996</v>
      </c>
      <c r="AY35" s="94">
        <f t="shared" si="24"/>
        <v>0.25682695652173904</v>
      </c>
      <c r="AZ35" s="94">
        <f t="shared" ref="AW35:BK52" si="26">(($F$9-V35)/$F$9)</f>
        <v>0.31365391304347823</v>
      </c>
      <c r="BA35" s="94">
        <f t="shared" si="26"/>
        <v>0.4273078260869565</v>
      </c>
      <c r="BB35" s="94">
        <f t="shared" si="26"/>
        <v>0.54096173913043477</v>
      </c>
      <c r="BC35" s="94">
        <f t="shared" si="26"/>
        <v>0.65461565217391304</v>
      </c>
      <c r="BD35" s="95">
        <f t="shared" si="26"/>
        <v>0.7682695652173912</v>
      </c>
      <c r="BE35" s="93">
        <f t="shared" si="26"/>
        <v>0.30000000000000004</v>
      </c>
      <c r="BF35" s="94">
        <f t="shared" si="26"/>
        <v>0.34682695652173917</v>
      </c>
      <c r="BG35" s="94">
        <f t="shared" si="26"/>
        <v>0.3936539130434783</v>
      </c>
      <c r="BH35" s="94">
        <f t="shared" si="26"/>
        <v>0.48730782608695655</v>
      </c>
      <c r="BI35" s="94">
        <f t="shared" si="26"/>
        <v>0.58096173913043481</v>
      </c>
      <c r="BJ35" s="94">
        <f t="shared" si="26"/>
        <v>0.67461565217391306</v>
      </c>
      <c r="BK35" s="95">
        <f t="shared" si="26"/>
        <v>0.7682695652173912</v>
      </c>
      <c r="BN35" s="94"/>
      <c r="BO35" s="94"/>
      <c r="BP35" s="94"/>
      <c r="BQ35" s="94"/>
      <c r="BR35" s="94"/>
      <c r="BS35" s="94"/>
      <c r="BT35" s="94"/>
      <c r="BU35" s="94"/>
      <c r="BV35" s="94"/>
      <c r="BW35" s="94"/>
      <c r="BX35" s="94"/>
      <c r="BY35" s="94"/>
      <c r="BZ35" s="94"/>
      <c r="CA35" s="94"/>
      <c r="CB35" s="94"/>
      <c r="CC35" s="94"/>
      <c r="CD35" s="94"/>
      <c r="CE35" s="94"/>
      <c r="CF35" s="94"/>
      <c r="CG35" s="94"/>
      <c r="CH35" s="94"/>
      <c r="CI35" s="94"/>
      <c r="CJ35" s="94"/>
      <c r="CK35" s="94"/>
      <c r="CL35" s="94"/>
      <c r="CM35" s="94"/>
      <c r="CN35" s="94"/>
      <c r="CO35" s="94"/>
    </row>
    <row r="36" spans="1:93" ht="15" thickBot="1">
      <c r="A36" s="222">
        <v>0.6</v>
      </c>
      <c r="B36" s="72"/>
      <c r="C36" s="121">
        <v>0.6</v>
      </c>
      <c r="D36" s="73">
        <f t="shared" si="5"/>
        <v>7.5600000000000001E-2</v>
      </c>
      <c r="E36" s="74">
        <f t="shared" si="23"/>
        <v>21.319199999999999</v>
      </c>
      <c r="F36" s="81">
        <f t="shared" si="25"/>
        <v>138</v>
      </c>
      <c r="G36" s="82">
        <f t="shared" si="25"/>
        <v>126.33192</v>
      </c>
      <c r="H36" s="82">
        <f t="shared" si="22"/>
        <v>114.66384000000001</v>
      </c>
      <c r="I36" s="82">
        <f t="shared" si="22"/>
        <v>91.327680000000001</v>
      </c>
      <c r="J36" s="82">
        <f t="shared" si="22"/>
        <v>67.991520000000008</v>
      </c>
      <c r="K36" s="82">
        <f t="shared" si="22"/>
        <v>44.655359999999995</v>
      </c>
      <c r="L36" s="83">
        <f t="shared" si="22"/>
        <v>21.319199999999999</v>
      </c>
      <c r="M36" s="81">
        <f t="shared" si="14"/>
        <v>124.2</v>
      </c>
      <c r="N36" s="82">
        <f t="shared" si="14"/>
        <v>113.91191999999999</v>
      </c>
      <c r="O36" s="82">
        <f t="shared" si="14"/>
        <v>103.62384000000002</v>
      </c>
      <c r="P36" s="82">
        <f t="shared" si="14"/>
        <v>83.04768</v>
      </c>
      <c r="Q36" s="82">
        <f t="shared" si="14"/>
        <v>62.471520000000005</v>
      </c>
      <c r="R36" s="82">
        <f t="shared" si="14"/>
        <v>41.895359999999997</v>
      </c>
      <c r="S36" s="83">
        <f t="shared" si="14"/>
        <v>21.319199999999999</v>
      </c>
      <c r="T36" s="81">
        <f t="shared" si="15"/>
        <v>110.4</v>
      </c>
      <c r="U36" s="82">
        <f t="shared" si="15"/>
        <v>101.49192000000001</v>
      </c>
      <c r="V36" s="82">
        <f t="shared" si="15"/>
        <v>92.583840000000009</v>
      </c>
      <c r="W36" s="82">
        <f t="shared" si="15"/>
        <v>74.767679999999999</v>
      </c>
      <c r="X36" s="82">
        <f t="shared" si="15"/>
        <v>56.951520000000002</v>
      </c>
      <c r="Y36" s="82">
        <f t="shared" si="15"/>
        <v>39.135359999999991</v>
      </c>
      <c r="Z36" s="83">
        <f t="shared" si="15"/>
        <v>21.319199999999999</v>
      </c>
      <c r="AA36" s="81">
        <f t="shared" si="16"/>
        <v>96.6</v>
      </c>
      <c r="AB36" s="82">
        <f t="shared" si="16"/>
        <v>89.071919999999992</v>
      </c>
      <c r="AC36" s="82">
        <f t="shared" si="16"/>
        <v>81.543840000000003</v>
      </c>
      <c r="AD36" s="82">
        <f t="shared" si="16"/>
        <v>66.487679999999997</v>
      </c>
      <c r="AE36" s="82">
        <f t="shared" si="16"/>
        <v>51.431519999999999</v>
      </c>
      <c r="AF36" s="82">
        <f t="shared" si="16"/>
        <v>36.375359999999993</v>
      </c>
      <c r="AG36" s="83">
        <f t="shared" si="16"/>
        <v>21.319199999999999</v>
      </c>
      <c r="AJ36" s="96">
        <f t="shared" si="24"/>
        <v>0</v>
      </c>
      <c r="AK36" s="97">
        <f t="shared" si="24"/>
        <v>8.4551304347826109E-2</v>
      </c>
      <c r="AL36" s="97">
        <f t="shared" si="24"/>
        <v>0.16910260869565211</v>
      </c>
      <c r="AM36" s="97">
        <f t="shared" si="24"/>
        <v>0.33820521739130432</v>
      </c>
      <c r="AN36" s="97">
        <f t="shared" si="24"/>
        <v>0.50730782608695646</v>
      </c>
      <c r="AO36" s="97">
        <f t="shared" si="24"/>
        <v>0.67641043478260865</v>
      </c>
      <c r="AP36" s="98">
        <f t="shared" si="24"/>
        <v>0.84551304347826095</v>
      </c>
      <c r="AQ36" s="96">
        <f t="shared" si="24"/>
        <v>9.9999999999999978E-2</v>
      </c>
      <c r="AR36" s="97">
        <f t="shared" si="24"/>
        <v>0.17455130434782612</v>
      </c>
      <c r="AS36" s="97">
        <f t="shared" si="24"/>
        <v>0.24910260869565207</v>
      </c>
      <c r="AT36" s="97">
        <f t="shared" si="24"/>
        <v>0.39820521739130432</v>
      </c>
      <c r="AU36" s="97">
        <f t="shared" si="24"/>
        <v>0.54730782608695649</v>
      </c>
      <c r="AV36" s="97">
        <f t="shared" si="24"/>
        <v>0.69641043478260867</v>
      </c>
      <c r="AW36" s="98">
        <f t="shared" si="24"/>
        <v>0.84551304347826095</v>
      </c>
      <c r="AX36" s="96">
        <f t="shared" si="24"/>
        <v>0.19999999999999996</v>
      </c>
      <c r="AY36" s="97">
        <f t="shared" si="24"/>
        <v>0.26455130434782603</v>
      </c>
      <c r="AZ36" s="97">
        <f t="shared" si="26"/>
        <v>0.32910260869565211</v>
      </c>
      <c r="BA36" s="97">
        <f t="shared" si="26"/>
        <v>0.45820521739130438</v>
      </c>
      <c r="BB36" s="97">
        <f t="shared" si="26"/>
        <v>0.58730782608695653</v>
      </c>
      <c r="BC36" s="97">
        <f t="shared" si="26"/>
        <v>0.7164104347826088</v>
      </c>
      <c r="BD36" s="98">
        <f t="shared" si="26"/>
        <v>0.84551304347826095</v>
      </c>
      <c r="BE36" s="96">
        <f t="shared" si="26"/>
        <v>0.30000000000000004</v>
      </c>
      <c r="BF36" s="97">
        <f t="shared" si="26"/>
        <v>0.35455130434782617</v>
      </c>
      <c r="BG36" s="97">
        <f t="shared" si="26"/>
        <v>0.40910260869565213</v>
      </c>
      <c r="BH36" s="97">
        <f t="shared" si="26"/>
        <v>0.51820521739130432</v>
      </c>
      <c r="BI36" s="97">
        <f t="shared" si="26"/>
        <v>0.62730782608695645</v>
      </c>
      <c r="BJ36" s="97">
        <f t="shared" si="26"/>
        <v>0.7364104347826087</v>
      </c>
      <c r="BK36" s="98">
        <f t="shared" si="26"/>
        <v>0.84551304347826095</v>
      </c>
      <c r="BN36" s="94"/>
      <c r="BO36" s="94"/>
      <c r="BP36" s="94"/>
      <c r="BQ36" s="94"/>
      <c r="BR36" s="94"/>
      <c r="BS36" s="94"/>
      <c r="BT36" s="94"/>
      <c r="BU36" s="94"/>
      <c r="BV36" s="94"/>
      <c r="BW36" s="94"/>
      <c r="BX36" s="94"/>
      <c r="BY36" s="94"/>
      <c r="BZ36" s="94"/>
      <c r="CA36" s="94"/>
      <c r="CB36" s="94"/>
      <c r="CC36" s="94"/>
      <c r="CD36" s="94"/>
      <c r="CE36" s="94"/>
      <c r="CF36" s="94"/>
      <c r="CG36" s="94"/>
      <c r="CH36" s="94"/>
      <c r="CI36" s="94"/>
      <c r="CJ36" s="94"/>
      <c r="CK36" s="94"/>
      <c r="CL36" s="94"/>
      <c r="CM36" s="94"/>
      <c r="CN36" s="94"/>
      <c r="CO36" s="94"/>
    </row>
    <row r="37" spans="1:93">
      <c r="A37" s="220">
        <v>0.7</v>
      </c>
      <c r="B37" s="74">
        <f>B$9*(1-A37)+B$49*A37</f>
        <v>214.00000000000003</v>
      </c>
      <c r="C37" s="119">
        <v>0</v>
      </c>
      <c r="D37" s="73">
        <f t="shared" si="5"/>
        <v>0.189</v>
      </c>
      <c r="E37" s="74">
        <f>B$37*D37</f>
        <v>40.446000000000005</v>
      </c>
      <c r="F37" s="75">
        <f>$F$5*(1-F$7)+$E37*(F$7)</f>
        <v>138</v>
      </c>
      <c r="G37" s="76">
        <f t="shared" si="22"/>
        <v>128.24459999999999</v>
      </c>
      <c r="H37" s="76">
        <f t="shared" si="22"/>
        <v>118.48920000000001</v>
      </c>
      <c r="I37" s="76">
        <f t="shared" si="22"/>
        <v>98.978399999999993</v>
      </c>
      <c r="J37" s="76">
        <f t="shared" si="22"/>
        <v>79.467600000000004</v>
      </c>
      <c r="K37" s="76">
        <f t="shared" si="22"/>
        <v>59.956800000000001</v>
      </c>
      <c r="L37" s="77">
        <f t="shared" si="22"/>
        <v>40.446000000000005</v>
      </c>
      <c r="M37" s="75">
        <f t="shared" si="14"/>
        <v>124.2</v>
      </c>
      <c r="N37" s="76">
        <f t="shared" si="14"/>
        <v>115.8246</v>
      </c>
      <c r="O37" s="76">
        <f t="shared" si="14"/>
        <v>107.44920000000002</v>
      </c>
      <c r="P37" s="76">
        <f t="shared" si="14"/>
        <v>90.698399999999992</v>
      </c>
      <c r="Q37" s="76">
        <f t="shared" si="14"/>
        <v>73.947600000000008</v>
      </c>
      <c r="R37" s="76">
        <f t="shared" si="14"/>
        <v>57.196800000000003</v>
      </c>
      <c r="S37" s="77">
        <f t="shared" si="14"/>
        <v>40.446000000000005</v>
      </c>
      <c r="T37" s="75">
        <f t="shared" si="15"/>
        <v>110.4</v>
      </c>
      <c r="U37" s="76">
        <f t="shared" si="15"/>
        <v>103.40460000000002</v>
      </c>
      <c r="V37" s="76">
        <f t="shared" si="15"/>
        <v>96.409200000000013</v>
      </c>
      <c r="W37" s="76">
        <f t="shared" si="15"/>
        <v>82.418399999999991</v>
      </c>
      <c r="X37" s="76">
        <f t="shared" si="15"/>
        <v>68.427600000000012</v>
      </c>
      <c r="Y37" s="76">
        <f t="shared" si="15"/>
        <v>54.436800000000005</v>
      </c>
      <c r="Z37" s="77">
        <f t="shared" si="15"/>
        <v>40.446000000000005</v>
      </c>
      <c r="AA37" s="75">
        <f t="shared" si="16"/>
        <v>96.6</v>
      </c>
      <c r="AB37" s="76">
        <f t="shared" si="16"/>
        <v>90.9846</v>
      </c>
      <c r="AC37" s="76">
        <f t="shared" si="16"/>
        <v>85.369200000000006</v>
      </c>
      <c r="AD37" s="76">
        <f t="shared" si="16"/>
        <v>74.13839999999999</v>
      </c>
      <c r="AE37" s="76">
        <f t="shared" si="16"/>
        <v>62.907600000000002</v>
      </c>
      <c r="AF37" s="76">
        <f t="shared" si="16"/>
        <v>51.6768</v>
      </c>
      <c r="AG37" s="77">
        <f t="shared" si="16"/>
        <v>40.446000000000005</v>
      </c>
      <c r="AJ37" s="90">
        <f>(($F$9-F37)/$F$9)</f>
        <v>0</v>
      </c>
      <c r="AK37" s="91">
        <f t="shared" si="24"/>
        <v>7.0691304347826153E-2</v>
      </c>
      <c r="AL37" s="91">
        <f t="shared" si="24"/>
        <v>0.14138260869565208</v>
      </c>
      <c r="AM37" s="91">
        <f t="shared" si="24"/>
        <v>0.28276521739130439</v>
      </c>
      <c r="AN37" s="91">
        <f t="shared" si="24"/>
        <v>0.4241478260869565</v>
      </c>
      <c r="AO37" s="91">
        <f t="shared" si="24"/>
        <v>0.56553043478260867</v>
      </c>
      <c r="AP37" s="92">
        <f t="shared" si="24"/>
        <v>0.70691304347826089</v>
      </c>
      <c r="AQ37" s="90">
        <f t="shared" si="24"/>
        <v>9.9999999999999978E-2</v>
      </c>
      <c r="AR37" s="91">
        <f t="shared" si="24"/>
        <v>0.16069130434782605</v>
      </c>
      <c r="AS37" s="91">
        <f t="shared" si="24"/>
        <v>0.22138260869565204</v>
      </c>
      <c r="AT37" s="91">
        <f t="shared" si="24"/>
        <v>0.34276521739130439</v>
      </c>
      <c r="AU37" s="91">
        <f t="shared" si="24"/>
        <v>0.46414782608695648</v>
      </c>
      <c r="AV37" s="91">
        <f t="shared" si="24"/>
        <v>0.58553043478260869</v>
      </c>
      <c r="AW37" s="92">
        <f t="shared" si="24"/>
        <v>0.70691304347826089</v>
      </c>
      <c r="AX37" s="90">
        <f t="shared" si="24"/>
        <v>0.19999999999999996</v>
      </c>
      <c r="AY37" s="91">
        <f t="shared" si="24"/>
        <v>0.25069130434782599</v>
      </c>
      <c r="AZ37" s="91">
        <f t="shared" si="26"/>
        <v>0.30138260869565209</v>
      </c>
      <c r="BA37" s="91">
        <f t="shared" si="26"/>
        <v>0.40276521739130439</v>
      </c>
      <c r="BB37" s="91">
        <f t="shared" si="26"/>
        <v>0.50414782608695641</v>
      </c>
      <c r="BC37" s="91">
        <f t="shared" si="26"/>
        <v>0.60553043478260871</v>
      </c>
      <c r="BD37" s="92">
        <f t="shared" si="26"/>
        <v>0.70691304347826089</v>
      </c>
      <c r="BE37" s="90">
        <f t="shared" si="26"/>
        <v>0.30000000000000004</v>
      </c>
      <c r="BF37" s="91">
        <f t="shared" si="26"/>
        <v>0.34069130434782607</v>
      </c>
      <c r="BG37" s="91">
        <f t="shared" si="26"/>
        <v>0.3813826086956521</v>
      </c>
      <c r="BH37" s="91">
        <f t="shared" si="26"/>
        <v>0.46276521739130444</v>
      </c>
      <c r="BI37" s="91">
        <f t="shared" si="26"/>
        <v>0.54414782608695655</v>
      </c>
      <c r="BJ37" s="91">
        <f t="shared" si="26"/>
        <v>0.62553043478260872</v>
      </c>
      <c r="BK37" s="92">
        <f t="shared" si="26"/>
        <v>0.70691304347826089</v>
      </c>
      <c r="BN37" s="94"/>
      <c r="BO37" s="94"/>
      <c r="BP37" s="94"/>
      <c r="BQ37" s="94"/>
      <c r="BR37" s="94"/>
      <c r="BS37" s="94"/>
      <c r="BT37" s="94"/>
      <c r="BU37" s="94"/>
      <c r="BV37" s="94"/>
      <c r="BW37" s="94"/>
      <c r="BX37" s="94"/>
      <c r="BY37" s="94"/>
      <c r="BZ37" s="94"/>
      <c r="CA37" s="94"/>
      <c r="CB37" s="94"/>
      <c r="CC37" s="94"/>
      <c r="CD37" s="94"/>
      <c r="CE37" s="94"/>
      <c r="CF37" s="94"/>
      <c r="CG37" s="94"/>
      <c r="CH37" s="94"/>
      <c r="CI37" s="94"/>
      <c r="CJ37" s="94"/>
      <c r="CK37" s="94"/>
      <c r="CL37" s="94"/>
      <c r="CM37" s="94"/>
      <c r="CN37" s="94"/>
      <c r="CO37" s="94"/>
    </row>
    <row r="38" spans="1:93">
      <c r="A38" s="221">
        <v>0.7</v>
      </c>
      <c r="B38" s="72"/>
      <c r="C38" s="120">
        <v>0.2</v>
      </c>
      <c r="D38" s="73">
        <f t="shared" si="5"/>
        <v>0.1512</v>
      </c>
      <c r="E38" s="74">
        <f>B$37*D38</f>
        <v>32.356800000000007</v>
      </c>
      <c r="F38" s="78">
        <f>$F$5*(1-F$7)+$E38*(F$7)</f>
        <v>138</v>
      </c>
      <c r="G38" s="79">
        <f>$F$5*(1-G$7)+$E38*(G$7)</f>
        <v>127.43568</v>
      </c>
      <c r="H38" s="79">
        <f t="shared" si="22"/>
        <v>116.87136000000001</v>
      </c>
      <c r="I38" s="79">
        <f t="shared" si="22"/>
        <v>95.742720000000006</v>
      </c>
      <c r="J38" s="79">
        <f t="shared" si="22"/>
        <v>74.614080000000001</v>
      </c>
      <c r="K38" s="79">
        <f t="shared" si="22"/>
        <v>53.485439999999997</v>
      </c>
      <c r="L38" s="80">
        <f t="shared" si="22"/>
        <v>32.356800000000007</v>
      </c>
      <c r="M38" s="78">
        <f t="shared" si="14"/>
        <v>124.2</v>
      </c>
      <c r="N38" s="79">
        <f t="shared" si="14"/>
        <v>115.01568</v>
      </c>
      <c r="O38" s="79">
        <f t="shared" si="14"/>
        <v>105.83136000000002</v>
      </c>
      <c r="P38" s="79">
        <f t="shared" si="14"/>
        <v>87.462720000000004</v>
      </c>
      <c r="Q38" s="79">
        <f t="shared" si="14"/>
        <v>69.094080000000005</v>
      </c>
      <c r="R38" s="79">
        <f t="shared" si="14"/>
        <v>50.725440000000006</v>
      </c>
      <c r="S38" s="80">
        <f t="shared" si="14"/>
        <v>32.356800000000007</v>
      </c>
      <c r="T38" s="78">
        <f t="shared" si="15"/>
        <v>110.4</v>
      </c>
      <c r="U38" s="79">
        <f t="shared" si="15"/>
        <v>102.59568000000002</v>
      </c>
      <c r="V38" s="79">
        <f t="shared" si="15"/>
        <v>94.791360000000012</v>
      </c>
      <c r="W38" s="79">
        <f t="shared" si="15"/>
        <v>79.182720000000003</v>
      </c>
      <c r="X38" s="79">
        <f t="shared" si="15"/>
        <v>63.574080000000009</v>
      </c>
      <c r="Y38" s="79">
        <f t="shared" si="15"/>
        <v>47.965440000000001</v>
      </c>
      <c r="Z38" s="80">
        <f t="shared" si="15"/>
        <v>32.356800000000007</v>
      </c>
      <c r="AA38" s="78">
        <f t="shared" si="16"/>
        <v>96.6</v>
      </c>
      <c r="AB38" s="79">
        <f t="shared" si="16"/>
        <v>90.17568</v>
      </c>
      <c r="AC38" s="79">
        <f t="shared" si="16"/>
        <v>83.751360000000005</v>
      </c>
      <c r="AD38" s="79">
        <f t="shared" si="16"/>
        <v>70.902720000000002</v>
      </c>
      <c r="AE38" s="79">
        <f t="shared" si="16"/>
        <v>58.054079999999999</v>
      </c>
      <c r="AF38" s="79">
        <f t="shared" si="16"/>
        <v>45.205439999999996</v>
      </c>
      <c r="AG38" s="80">
        <f t="shared" si="16"/>
        <v>32.356800000000007</v>
      </c>
      <c r="AJ38" s="93">
        <f t="shared" ref="AJ38:AJ40" si="27">(($F$9-F38)/$F$9)</f>
        <v>0</v>
      </c>
      <c r="AK38" s="94">
        <f t="shared" ref="AK38:AK52" si="28">(($F$9-G38)/$F$9)</f>
        <v>7.6553043478260835E-2</v>
      </c>
      <c r="AL38" s="94">
        <f t="shared" ref="AL38:AL52" si="29">(($F$9-H38)/$F$9)</f>
        <v>0.15310608695652167</v>
      </c>
      <c r="AM38" s="94">
        <f t="shared" ref="AM38:AM52" si="30">(($F$9-I38)/$F$9)</f>
        <v>0.30621217391304345</v>
      </c>
      <c r="AN38" s="94">
        <f t="shared" ref="AN38:AN52" si="31">(($F$9-J38)/$F$9)</f>
        <v>0.45931826086956523</v>
      </c>
      <c r="AO38" s="94">
        <f t="shared" ref="AO38:AO52" si="32">(($F$9-K38)/$F$9)</f>
        <v>0.61242434782608701</v>
      </c>
      <c r="AP38" s="95">
        <f t="shared" ref="AP38:AP52" si="33">(($F$9-L38)/$F$9)</f>
        <v>0.76553043478260863</v>
      </c>
      <c r="AQ38" s="93">
        <f t="shared" ref="AQ38:AQ52" si="34">(($F$9-M38)/$F$9)</f>
        <v>9.9999999999999978E-2</v>
      </c>
      <c r="AR38" s="94">
        <f t="shared" ref="AR38:AR52" si="35">(($F$9-N38)/$F$9)</f>
        <v>0.16655304347826086</v>
      </c>
      <c r="AS38" s="94">
        <f t="shared" ref="AS38:AS52" si="36">(($F$9-O38)/$F$9)</f>
        <v>0.2331060869565216</v>
      </c>
      <c r="AT38" s="94">
        <f t="shared" ref="AT38:AT52" si="37">(($F$9-P38)/$F$9)</f>
        <v>0.36621217391304345</v>
      </c>
      <c r="AU38" s="94">
        <f t="shared" ref="AU38:AU52" si="38">(($F$9-Q38)/$F$9)</f>
        <v>0.49931826086956516</v>
      </c>
      <c r="AV38" s="94">
        <f t="shared" ref="AV38:AV52" si="39">(($F$9-R38)/$F$9)</f>
        <v>0.63242434782608692</v>
      </c>
      <c r="AW38" s="95">
        <f t="shared" si="26"/>
        <v>0.76553043478260863</v>
      </c>
      <c r="AX38" s="93">
        <f t="shared" si="26"/>
        <v>0.19999999999999996</v>
      </c>
      <c r="AY38" s="94">
        <f t="shared" si="26"/>
        <v>0.25655304347826074</v>
      </c>
      <c r="AZ38" s="94">
        <f t="shared" si="26"/>
        <v>0.31310608695652165</v>
      </c>
      <c r="BA38" s="94">
        <f t="shared" si="26"/>
        <v>0.42621217391304345</v>
      </c>
      <c r="BB38" s="94">
        <f t="shared" si="26"/>
        <v>0.53931826086956514</v>
      </c>
      <c r="BC38" s="94">
        <f t="shared" si="26"/>
        <v>0.65242434782608694</v>
      </c>
      <c r="BD38" s="95">
        <f t="shared" si="26"/>
        <v>0.76553043478260863</v>
      </c>
      <c r="BE38" s="93">
        <f t="shared" si="26"/>
        <v>0.30000000000000004</v>
      </c>
      <c r="BF38" s="94">
        <f t="shared" si="26"/>
        <v>0.34655304347826088</v>
      </c>
      <c r="BG38" s="94">
        <f t="shared" si="26"/>
        <v>0.39310608695652172</v>
      </c>
      <c r="BH38" s="94">
        <f t="shared" si="26"/>
        <v>0.48621217391304344</v>
      </c>
      <c r="BI38" s="94">
        <f t="shared" si="26"/>
        <v>0.57931826086956517</v>
      </c>
      <c r="BJ38" s="94">
        <f t="shared" si="26"/>
        <v>0.67242434782608695</v>
      </c>
      <c r="BK38" s="95">
        <f t="shared" si="26"/>
        <v>0.76553043478260863</v>
      </c>
      <c r="BN38" s="94"/>
      <c r="BO38" s="94"/>
      <c r="BP38" s="94"/>
      <c r="BQ38" s="94"/>
      <c r="BR38" s="94"/>
      <c r="BS38" s="94"/>
      <c r="BT38" s="94"/>
      <c r="BU38" s="94"/>
      <c r="BV38" s="94"/>
      <c r="BW38" s="94"/>
      <c r="BX38" s="94"/>
      <c r="BY38" s="94"/>
      <c r="BZ38" s="94"/>
      <c r="CA38" s="94"/>
      <c r="CB38" s="94"/>
      <c r="CC38" s="94"/>
      <c r="CD38" s="94"/>
      <c r="CE38" s="94"/>
      <c r="CF38" s="94"/>
      <c r="CG38" s="94"/>
      <c r="CH38" s="94"/>
      <c r="CI38" s="94"/>
      <c r="CJ38" s="94"/>
      <c r="CK38" s="94"/>
      <c r="CL38" s="94"/>
      <c r="CM38" s="94"/>
      <c r="CN38" s="94"/>
      <c r="CO38" s="94"/>
    </row>
    <row r="39" spans="1:93">
      <c r="A39" s="221">
        <v>0.7</v>
      </c>
      <c r="B39" s="72"/>
      <c r="C39" s="120">
        <v>0.4</v>
      </c>
      <c r="D39" s="73">
        <f t="shared" si="5"/>
        <v>0.1134</v>
      </c>
      <c r="E39" s="74">
        <f>B$37*D39</f>
        <v>24.267600000000005</v>
      </c>
      <c r="F39" s="78">
        <f t="shared" ref="F39:G40" si="40">$F$5*(1-F$7)+$E39*(F$7)</f>
        <v>138</v>
      </c>
      <c r="G39" s="79">
        <f t="shared" si="40"/>
        <v>126.62676</v>
      </c>
      <c r="H39" s="79">
        <f t="shared" si="22"/>
        <v>115.25352000000001</v>
      </c>
      <c r="I39" s="79">
        <f t="shared" si="22"/>
        <v>92.507040000000003</v>
      </c>
      <c r="J39" s="79">
        <f t="shared" si="22"/>
        <v>69.760559999999998</v>
      </c>
      <c r="K39" s="79">
        <f t="shared" si="22"/>
        <v>47.01408</v>
      </c>
      <c r="L39" s="80">
        <f t="shared" si="22"/>
        <v>24.267600000000005</v>
      </c>
      <c r="M39" s="78">
        <f t="shared" si="14"/>
        <v>124.2</v>
      </c>
      <c r="N39" s="79">
        <f t="shared" si="14"/>
        <v>114.20676</v>
      </c>
      <c r="O39" s="79">
        <f t="shared" si="14"/>
        <v>104.21352000000002</v>
      </c>
      <c r="P39" s="79">
        <f t="shared" si="14"/>
        <v>84.227040000000002</v>
      </c>
      <c r="Q39" s="79">
        <f t="shared" si="14"/>
        <v>64.240560000000016</v>
      </c>
      <c r="R39" s="79">
        <f t="shared" si="14"/>
        <v>44.254080000000002</v>
      </c>
      <c r="S39" s="80">
        <f t="shared" si="14"/>
        <v>24.267600000000005</v>
      </c>
      <c r="T39" s="78">
        <f t="shared" si="15"/>
        <v>110.4</v>
      </c>
      <c r="U39" s="79">
        <f t="shared" si="15"/>
        <v>101.78676000000002</v>
      </c>
      <c r="V39" s="79">
        <f t="shared" si="15"/>
        <v>93.173520000000011</v>
      </c>
      <c r="W39" s="79">
        <f t="shared" si="15"/>
        <v>75.947040000000001</v>
      </c>
      <c r="X39" s="79">
        <f t="shared" si="15"/>
        <v>58.720560000000006</v>
      </c>
      <c r="Y39" s="79">
        <f t="shared" si="15"/>
        <v>41.494079999999997</v>
      </c>
      <c r="Z39" s="80">
        <f t="shared" si="15"/>
        <v>24.267600000000005</v>
      </c>
      <c r="AA39" s="78">
        <f t="shared" si="16"/>
        <v>96.6</v>
      </c>
      <c r="AB39" s="79">
        <f t="shared" si="16"/>
        <v>89.366759999999999</v>
      </c>
      <c r="AC39" s="79">
        <f t="shared" si="16"/>
        <v>82.133520000000004</v>
      </c>
      <c r="AD39" s="79">
        <f t="shared" si="16"/>
        <v>67.66704</v>
      </c>
      <c r="AE39" s="79">
        <f t="shared" si="16"/>
        <v>53.200560000000003</v>
      </c>
      <c r="AF39" s="79">
        <f t="shared" si="16"/>
        <v>38.734079999999999</v>
      </c>
      <c r="AG39" s="80">
        <f t="shared" si="16"/>
        <v>24.267600000000005</v>
      </c>
      <c r="AJ39" s="93">
        <f t="shared" si="27"/>
        <v>0</v>
      </c>
      <c r="AK39" s="94">
        <f t="shared" si="28"/>
        <v>8.2414782608695614E-2</v>
      </c>
      <c r="AL39" s="94">
        <f t="shared" si="29"/>
        <v>0.16482956521739123</v>
      </c>
      <c r="AM39" s="94">
        <f t="shared" si="30"/>
        <v>0.32965913043478257</v>
      </c>
      <c r="AN39" s="94">
        <f t="shared" si="31"/>
        <v>0.4944886956521739</v>
      </c>
      <c r="AO39" s="94">
        <f t="shared" si="32"/>
        <v>0.65931826086956513</v>
      </c>
      <c r="AP39" s="95">
        <f t="shared" si="33"/>
        <v>0.82414782608695647</v>
      </c>
      <c r="AQ39" s="93">
        <f t="shared" si="34"/>
        <v>9.9999999999999978E-2</v>
      </c>
      <c r="AR39" s="94">
        <f t="shared" si="35"/>
        <v>0.17241478260869564</v>
      </c>
      <c r="AS39" s="94">
        <f t="shared" si="36"/>
        <v>0.24482956521739119</v>
      </c>
      <c r="AT39" s="94">
        <f t="shared" si="37"/>
        <v>0.38965913043478262</v>
      </c>
      <c r="AU39" s="94">
        <f t="shared" si="38"/>
        <v>0.53448869565217383</v>
      </c>
      <c r="AV39" s="94">
        <f t="shared" si="39"/>
        <v>0.67931826086956515</v>
      </c>
      <c r="AW39" s="95">
        <f t="shared" si="26"/>
        <v>0.82414782608695647</v>
      </c>
      <c r="AX39" s="93">
        <f t="shared" si="26"/>
        <v>0.19999999999999996</v>
      </c>
      <c r="AY39" s="94">
        <f t="shared" si="26"/>
        <v>0.26241478260869555</v>
      </c>
      <c r="AZ39" s="94">
        <f t="shared" ref="AZ39:AZ40" si="41">(($F$9-V39)/$F$9)</f>
        <v>0.3248295652173912</v>
      </c>
      <c r="BA39" s="94">
        <f t="shared" ref="BA39:BA40" si="42">(($F$9-W39)/$F$9)</f>
        <v>0.44965913043478262</v>
      </c>
      <c r="BB39" s="94">
        <f t="shared" ref="BB39:BB40" si="43">(($F$9-X39)/$F$9)</f>
        <v>0.57448869565217386</v>
      </c>
      <c r="BC39" s="94">
        <f t="shared" ref="BC39:BC40" si="44">(($F$9-Y39)/$F$9)</f>
        <v>0.69931826086956528</v>
      </c>
      <c r="BD39" s="95">
        <f t="shared" ref="BD39:BD40" si="45">(($F$9-Z39)/$F$9)</f>
        <v>0.82414782608695647</v>
      </c>
      <c r="BE39" s="93">
        <f t="shared" ref="BE39:BE40" si="46">(($F$9-AA39)/$F$9)</f>
        <v>0.30000000000000004</v>
      </c>
      <c r="BF39" s="94">
        <f t="shared" ref="BF39:BF40" si="47">(($F$9-AB39)/$F$9)</f>
        <v>0.35241478260869563</v>
      </c>
      <c r="BG39" s="94">
        <f t="shared" ref="BG39:BG40" si="48">(($F$9-AC39)/$F$9)</f>
        <v>0.40482956521739127</v>
      </c>
      <c r="BH39" s="94">
        <f t="shared" ref="BH39:BH40" si="49">(($F$9-AD39)/$F$9)</f>
        <v>0.50965913043478261</v>
      </c>
      <c r="BI39" s="94">
        <f t="shared" ref="BI39:BI40" si="50">(($F$9-AE39)/$F$9)</f>
        <v>0.6144886956521739</v>
      </c>
      <c r="BJ39" s="94">
        <f t="shared" ref="BJ39:BJ40" si="51">(($F$9-AF39)/$F$9)</f>
        <v>0.71931826086956518</v>
      </c>
      <c r="BK39" s="95">
        <f t="shared" ref="BK39:BK40" si="52">(($F$9-AG39)/$F$9)</f>
        <v>0.82414782608695647</v>
      </c>
      <c r="BN39" s="94"/>
      <c r="BO39" s="94"/>
      <c r="BP39" s="94"/>
      <c r="BQ39" s="94"/>
      <c r="BR39" s="94"/>
      <c r="BS39" s="94"/>
      <c r="BT39" s="94"/>
      <c r="BU39" s="94"/>
      <c r="BV39" s="94"/>
      <c r="BW39" s="94"/>
      <c r="BX39" s="94"/>
      <c r="BY39" s="94"/>
      <c r="BZ39" s="94"/>
      <c r="CA39" s="94"/>
      <c r="CB39" s="94"/>
      <c r="CC39" s="94"/>
      <c r="CD39" s="94"/>
      <c r="CE39" s="94"/>
      <c r="CF39" s="94"/>
      <c r="CG39" s="94"/>
      <c r="CH39" s="94"/>
      <c r="CI39" s="94"/>
      <c r="CJ39" s="94"/>
      <c r="CK39" s="94"/>
      <c r="CL39" s="94"/>
      <c r="CM39" s="94"/>
      <c r="CN39" s="94"/>
      <c r="CO39" s="94"/>
    </row>
    <row r="40" spans="1:93" ht="15" thickBot="1">
      <c r="A40" s="222">
        <v>0.7</v>
      </c>
      <c r="B40" s="72"/>
      <c r="C40" s="121">
        <v>0.6</v>
      </c>
      <c r="D40" s="73">
        <f t="shared" si="5"/>
        <v>7.5600000000000001E-2</v>
      </c>
      <c r="E40" s="74">
        <f>B$37*D40</f>
        <v>16.178400000000003</v>
      </c>
      <c r="F40" s="81">
        <f t="shared" si="40"/>
        <v>138</v>
      </c>
      <c r="G40" s="82">
        <f t="shared" si="40"/>
        <v>125.81784</v>
      </c>
      <c r="H40" s="82">
        <f t="shared" si="22"/>
        <v>113.63568000000001</v>
      </c>
      <c r="I40" s="82">
        <f t="shared" si="22"/>
        <v>89.271360000000001</v>
      </c>
      <c r="J40" s="82">
        <f t="shared" si="22"/>
        <v>64.907040000000009</v>
      </c>
      <c r="K40" s="82">
        <f t="shared" si="22"/>
        <v>40.542719999999996</v>
      </c>
      <c r="L40" s="83">
        <f t="shared" si="22"/>
        <v>16.178400000000003</v>
      </c>
      <c r="M40" s="81">
        <f t="shared" si="14"/>
        <v>124.2</v>
      </c>
      <c r="N40" s="82">
        <f t="shared" si="14"/>
        <v>113.39784</v>
      </c>
      <c r="O40" s="82">
        <f t="shared" si="14"/>
        <v>102.59568000000002</v>
      </c>
      <c r="P40" s="82">
        <f t="shared" si="14"/>
        <v>80.99136</v>
      </c>
      <c r="Q40" s="82">
        <f t="shared" si="14"/>
        <v>59.387040000000006</v>
      </c>
      <c r="R40" s="82">
        <f t="shared" si="14"/>
        <v>37.782719999999998</v>
      </c>
      <c r="S40" s="83">
        <f t="shared" si="14"/>
        <v>16.178400000000003</v>
      </c>
      <c r="T40" s="81">
        <f t="shared" si="15"/>
        <v>110.4</v>
      </c>
      <c r="U40" s="82">
        <f t="shared" si="15"/>
        <v>100.97784000000001</v>
      </c>
      <c r="V40" s="82">
        <f t="shared" si="15"/>
        <v>91.555680000000009</v>
      </c>
      <c r="W40" s="82">
        <f t="shared" si="15"/>
        <v>72.711359999999999</v>
      </c>
      <c r="X40" s="82">
        <f t="shared" si="15"/>
        <v>53.867040000000003</v>
      </c>
      <c r="Y40" s="82">
        <f t="shared" si="15"/>
        <v>35.02272</v>
      </c>
      <c r="Z40" s="83">
        <f t="shared" si="15"/>
        <v>16.178400000000003</v>
      </c>
      <c r="AA40" s="81">
        <f t="shared" si="16"/>
        <v>96.6</v>
      </c>
      <c r="AB40" s="82">
        <f t="shared" si="16"/>
        <v>88.557839999999999</v>
      </c>
      <c r="AC40" s="82">
        <f t="shared" si="16"/>
        <v>80.515680000000003</v>
      </c>
      <c r="AD40" s="82">
        <f t="shared" si="16"/>
        <v>64.431359999999998</v>
      </c>
      <c r="AE40" s="82">
        <f t="shared" si="16"/>
        <v>48.34704</v>
      </c>
      <c r="AF40" s="82">
        <f t="shared" si="16"/>
        <v>32.262719999999995</v>
      </c>
      <c r="AG40" s="83">
        <f t="shared" si="16"/>
        <v>16.178400000000003</v>
      </c>
      <c r="AJ40" s="96">
        <f t="shared" si="27"/>
        <v>0</v>
      </c>
      <c r="AK40" s="97">
        <f t="shared" si="28"/>
        <v>8.8276521739130406E-2</v>
      </c>
      <c r="AL40" s="97">
        <f t="shared" si="29"/>
        <v>0.17655304347826081</v>
      </c>
      <c r="AM40" s="97">
        <f t="shared" si="30"/>
        <v>0.35310608695652174</v>
      </c>
      <c r="AN40" s="97">
        <f t="shared" si="31"/>
        <v>0.52965913043478252</v>
      </c>
      <c r="AO40" s="97">
        <f t="shared" si="32"/>
        <v>0.70621217391304347</v>
      </c>
      <c r="AP40" s="98">
        <f t="shared" si="33"/>
        <v>0.88276521739130431</v>
      </c>
      <c r="AQ40" s="96">
        <f t="shared" si="34"/>
        <v>9.9999999999999978E-2</v>
      </c>
      <c r="AR40" s="97">
        <f t="shared" si="35"/>
        <v>0.17827652173913042</v>
      </c>
      <c r="AS40" s="97">
        <f t="shared" si="36"/>
        <v>0.25655304347826074</v>
      </c>
      <c r="AT40" s="97">
        <f t="shared" si="37"/>
        <v>0.41310608695652173</v>
      </c>
      <c r="AU40" s="97">
        <f t="shared" si="38"/>
        <v>0.56965913043478256</v>
      </c>
      <c r="AV40" s="97">
        <f t="shared" si="39"/>
        <v>0.72621217391304349</v>
      </c>
      <c r="AW40" s="98">
        <f t="shared" si="26"/>
        <v>0.88276521739130431</v>
      </c>
      <c r="AX40" s="96">
        <f t="shared" si="26"/>
        <v>0.19999999999999996</v>
      </c>
      <c r="AY40" s="97">
        <f t="shared" si="26"/>
        <v>0.2682765217391303</v>
      </c>
      <c r="AZ40" s="97">
        <f t="shared" si="41"/>
        <v>0.33655304347826082</v>
      </c>
      <c r="BA40" s="97">
        <f t="shared" si="42"/>
        <v>0.47310608695652173</v>
      </c>
      <c r="BB40" s="97">
        <f t="shared" si="43"/>
        <v>0.60965913043478259</v>
      </c>
      <c r="BC40" s="97">
        <f t="shared" si="44"/>
        <v>0.74621217391304351</v>
      </c>
      <c r="BD40" s="98">
        <f t="shared" si="45"/>
        <v>0.88276521739130431</v>
      </c>
      <c r="BE40" s="96">
        <f t="shared" si="46"/>
        <v>0.30000000000000004</v>
      </c>
      <c r="BF40" s="97">
        <f t="shared" si="47"/>
        <v>0.35827652173913044</v>
      </c>
      <c r="BG40" s="97">
        <f t="shared" si="48"/>
        <v>0.41655304347826083</v>
      </c>
      <c r="BH40" s="97">
        <f t="shared" si="49"/>
        <v>0.53310608695652173</v>
      </c>
      <c r="BI40" s="97">
        <f t="shared" si="50"/>
        <v>0.64965913043478263</v>
      </c>
      <c r="BJ40" s="97">
        <f t="shared" si="51"/>
        <v>0.76621217391304342</v>
      </c>
      <c r="BK40" s="98">
        <f t="shared" si="52"/>
        <v>0.88276521739130431</v>
      </c>
      <c r="BN40" s="94"/>
      <c r="BO40" s="94"/>
      <c r="BP40" s="94"/>
      <c r="BQ40" s="94"/>
      <c r="BR40" s="94"/>
      <c r="BS40" s="94"/>
      <c r="BT40" s="94"/>
      <c r="BU40" s="94"/>
      <c r="BV40" s="94"/>
      <c r="BW40" s="94"/>
      <c r="BX40" s="94"/>
      <c r="BY40" s="94"/>
      <c r="BZ40" s="94"/>
      <c r="CA40" s="94"/>
      <c r="CB40" s="94"/>
      <c r="CC40" s="94"/>
      <c r="CD40" s="94"/>
      <c r="CE40" s="94"/>
      <c r="CF40" s="94"/>
      <c r="CG40" s="94"/>
      <c r="CH40" s="94"/>
      <c r="CI40" s="94"/>
      <c r="CJ40" s="94"/>
      <c r="CK40" s="94"/>
      <c r="CL40" s="94"/>
      <c r="CM40" s="94"/>
      <c r="CN40" s="94"/>
      <c r="CO40" s="94"/>
    </row>
    <row r="41" spans="1:93">
      <c r="A41" s="220">
        <v>0.8</v>
      </c>
      <c r="B41" s="74">
        <f>B$9*(1-A41)+B$49*A41</f>
        <v>145.99999999999997</v>
      </c>
      <c r="C41" s="119">
        <v>0</v>
      </c>
      <c r="D41" s="73">
        <f t="shared" si="5"/>
        <v>0.189</v>
      </c>
      <c r="E41" s="74">
        <f>B$41*D41</f>
        <v>27.593999999999994</v>
      </c>
      <c r="F41" s="75">
        <f>$F$5*(1-F$7)+$E41*(F$7)</f>
        <v>138</v>
      </c>
      <c r="G41" s="76">
        <f t="shared" si="22"/>
        <v>126.9594</v>
      </c>
      <c r="H41" s="76">
        <f t="shared" si="22"/>
        <v>115.9188</v>
      </c>
      <c r="I41" s="76">
        <f t="shared" si="22"/>
        <v>93.837599999999995</v>
      </c>
      <c r="J41" s="76">
        <f t="shared" si="22"/>
        <v>71.756399999999999</v>
      </c>
      <c r="K41" s="76">
        <f t="shared" si="22"/>
        <v>49.67519999999999</v>
      </c>
      <c r="L41" s="77">
        <f t="shared" si="22"/>
        <v>27.593999999999994</v>
      </c>
      <c r="M41" s="75">
        <f t="shared" si="14"/>
        <v>124.2</v>
      </c>
      <c r="N41" s="76">
        <f t="shared" si="14"/>
        <v>114.5394</v>
      </c>
      <c r="O41" s="76">
        <f t="shared" si="14"/>
        <v>104.87880000000001</v>
      </c>
      <c r="P41" s="76">
        <f t="shared" si="14"/>
        <v>85.557599999999994</v>
      </c>
      <c r="Q41" s="76">
        <f t="shared" si="14"/>
        <v>66.236400000000003</v>
      </c>
      <c r="R41" s="76">
        <f t="shared" si="14"/>
        <v>46.915199999999992</v>
      </c>
      <c r="S41" s="77">
        <f t="shared" si="14"/>
        <v>27.593999999999994</v>
      </c>
      <c r="T41" s="75">
        <f t="shared" si="15"/>
        <v>110.4</v>
      </c>
      <c r="U41" s="76">
        <f t="shared" si="15"/>
        <v>102.11940000000001</v>
      </c>
      <c r="V41" s="76">
        <f t="shared" si="15"/>
        <v>93.838800000000006</v>
      </c>
      <c r="W41" s="76">
        <f t="shared" si="15"/>
        <v>77.277599999999993</v>
      </c>
      <c r="X41" s="76">
        <f t="shared" si="15"/>
        <v>60.7164</v>
      </c>
      <c r="Y41" s="76">
        <f t="shared" si="15"/>
        <v>44.155199999999994</v>
      </c>
      <c r="Z41" s="77">
        <f t="shared" si="15"/>
        <v>27.593999999999994</v>
      </c>
      <c r="AA41" s="75">
        <f t="shared" si="16"/>
        <v>96.6</v>
      </c>
      <c r="AB41" s="76">
        <f t="shared" si="16"/>
        <v>89.699399999999997</v>
      </c>
      <c r="AC41" s="76">
        <f t="shared" si="16"/>
        <v>82.7988</v>
      </c>
      <c r="AD41" s="76">
        <f t="shared" si="16"/>
        <v>68.997599999999991</v>
      </c>
      <c r="AE41" s="76">
        <f t="shared" si="16"/>
        <v>55.196399999999997</v>
      </c>
      <c r="AF41" s="76">
        <f t="shared" si="16"/>
        <v>41.395199999999988</v>
      </c>
      <c r="AG41" s="77">
        <f t="shared" si="16"/>
        <v>27.593999999999994</v>
      </c>
      <c r="AJ41" s="90">
        <f>(($F$9-F41)/$F$9)</f>
        <v>0</v>
      </c>
      <c r="AK41" s="91">
        <f t="shared" si="28"/>
        <v>8.0004347826086938E-2</v>
      </c>
      <c r="AL41" s="91">
        <f t="shared" si="29"/>
        <v>0.16000869565217388</v>
      </c>
      <c r="AM41" s="91">
        <f t="shared" si="30"/>
        <v>0.32001739130434786</v>
      </c>
      <c r="AN41" s="91">
        <f t="shared" si="31"/>
        <v>0.48002608695652177</v>
      </c>
      <c r="AO41" s="91">
        <f t="shared" si="32"/>
        <v>0.64003478260869573</v>
      </c>
      <c r="AP41" s="92">
        <f t="shared" si="33"/>
        <v>0.80004347826086963</v>
      </c>
      <c r="AQ41" s="90">
        <f t="shared" si="34"/>
        <v>9.9999999999999978E-2</v>
      </c>
      <c r="AR41" s="91">
        <f t="shared" si="35"/>
        <v>0.17000434782608695</v>
      </c>
      <c r="AS41" s="91">
        <f t="shared" si="36"/>
        <v>0.24000869565217381</v>
      </c>
      <c r="AT41" s="91">
        <f t="shared" si="37"/>
        <v>0.38001739130434786</v>
      </c>
      <c r="AU41" s="91">
        <f t="shared" si="38"/>
        <v>0.52002608695652175</v>
      </c>
      <c r="AV41" s="91">
        <f t="shared" si="39"/>
        <v>0.66003478260869564</v>
      </c>
      <c r="AW41" s="92">
        <f t="shared" si="26"/>
        <v>0.80004347826086963</v>
      </c>
      <c r="AX41" s="90">
        <f t="shared" si="26"/>
        <v>0.19999999999999996</v>
      </c>
      <c r="AY41" s="91">
        <f t="shared" si="26"/>
        <v>0.26000434782608683</v>
      </c>
      <c r="AZ41" s="91">
        <f t="shared" si="26"/>
        <v>0.32000869565217388</v>
      </c>
      <c r="BA41" s="91">
        <f t="shared" si="26"/>
        <v>0.44001739130434786</v>
      </c>
      <c r="BB41" s="91">
        <f t="shared" si="26"/>
        <v>0.56002608695652178</v>
      </c>
      <c r="BC41" s="91">
        <f t="shared" si="26"/>
        <v>0.68003478260869565</v>
      </c>
      <c r="BD41" s="92">
        <f t="shared" si="26"/>
        <v>0.80004347826086963</v>
      </c>
      <c r="BE41" s="90">
        <f t="shared" si="26"/>
        <v>0.30000000000000004</v>
      </c>
      <c r="BF41" s="91">
        <f t="shared" si="26"/>
        <v>0.35000434782608697</v>
      </c>
      <c r="BG41" s="91">
        <f t="shared" si="26"/>
        <v>0.4000086956521739</v>
      </c>
      <c r="BH41" s="91">
        <f t="shared" si="26"/>
        <v>0.50001739130434786</v>
      </c>
      <c r="BI41" s="91">
        <f t="shared" si="26"/>
        <v>0.60002608695652171</v>
      </c>
      <c r="BJ41" s="91">
        <f t="shared" si="26"/>
        <v>0.70003478260869578</v>
      </c>
      <c r="BK41" s="92">
        <f t="shared" si="26"/>
        <v>0.80004347826086963</v>
      </c>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94"/>
    </row>
    <row r="42" spans="1:93">
      <c r="A42" s="221">
        <v>0.8</v>
      </c>
      <c r="B42" s="72"/>
      <c r="C42" s="120">
        <v>0.2</v>
      </c>
      <c r="D42" s="73">
        <f t="shared" si="5"/>
        <v>0.1512</v>
      </c>
      <c r="E42" s="74">
        <f>B$41*D42</f>
        <v>22.075199999999995</v>
      </c>
      <c r="F42" s="78">
        <f>$F$5*(1-F$7)+$E42*(F$7)</f>
        <v>138</v>
      </c>
      <c r="G42" s="79">
        <f>$F$5*(1-G$7)+$E42*(G$7)</f>
        <v>126.40752000000001</v>
      </c>
      <c r="H42" s="79">
        <f t="shared" si="22"/>
        <v>114.81504000000001</v>
      </c>
      <c r="I42" s="79">
        <f t="shared" si="22"/>
        <v>91.630079999999992</v>
      </c>
      <c r="J42" s="79">
        <f t="shared" si="22"/>
        <v>68.445120000000003</v>
      </c>
      <c r="K42" s="79">
        <f t="shared" si="22"/>
        <v>45.260159999999992</v>
      </c>
      <c r="L42" s="80">
        <f t="shared" si="22"/>
        <v>22.075199999999995</v>
      </c>
      <c r="M42" s="78">
        <f t="shared" ref="M42:S52" si="53">$M$5*(1-M$7)+$E42*(M$7)</f>
        <v>124.2</v>
      </c>
      <c r="N42" s="79">
        <f t="shared" si="53"/>
        <v>113.98752</v>
      </c>
      <c r="O42" s="79">
        <f t="shared" si="53"/>
        <v>103.77504000000002</v>
      </c>
      <c r="P42" s="79">
        <f t="shared" si="53"/>
        <v>83.350079999999991</v>
      </c>
      <c r="Q42" s="79">
        <f t="shared" si="53"/>
        <v>62.925120000000007</v>
      </c>
      <c r="R42" s="79">
        <f t="shared" si="53"/>
        <v>42.500159999999994</v>
      </c>
      <c r="S42" s="80">
        <f t="shared" si="53"/>
        <v>22.075199999999995</v>
      </c>
      <c r="T42" s="78">
        <f t="shared" ref="T42:Z52" si="54">$T$5*(1-T$7)+$E42*(T$7)</f>
        <v>110.4</v>
      </c>
      <c r="U42" s="79">
        <f t="shared" si="54"/>
        <v>101.56752000000002</v>
      </c>
      <c r="V42" s="79">
        <f t="shared" si="54"/>
        <v>92.735040000000012</v>
      </c>
      <c r="W42" s="79">
        <f t="shared" si="54"/>
        <v>75.07007999999999</v>
      </c>
      <c r="X42" s="79">
        <f t="shared" si="54"/>
        <v>57.405119999999997</v>
      </c>
      <c r="Y42" s="79">
        <f t="shared" si="54"/>
        <v>39.740159999999989</v>
      </c>
      <c r="Z42" s="80">
        <f t="shared" si="54"/>
        <v>22.075199999999995</v>
      </c>
      <c r="AA42" s="78">
        <f t="shared" ref="AA42:AG52" si="55">$AA$5*(1-AA$7)+$E42*(AA$7)</f>
        <v>96.6</v>
      </c>
      <c r="AB42" s="79">
        <f t="shared" si="55"/>
        <v>89.14752</v>
      </c>
      <c r="AC42" s="79">
        <f t="shared" si="55"/>
        <v>81.695040000000006</v>
      </c>
      <c r="AD42" s="79">
        <f t="shared" si="55"/>
        <v>66.790079999999989</v>
      </c>
      <c r="AE42" s="79">
        <f t="shared" si="55"/>
        <v>51.885120000000001</v>
      </c>
      <c r="AF42" s="79">
        <f t="shared" si="55"/>
        <v>36.980159999999991</v>
      </c>
      <c r="AG42" s="80">
        <f t="shared" si="55"/>
        <v>22.075199999999995</v>
      </c>
      <c r="AJ42" s="93">
        <f t="shared" ref="AJ42:AJ44" si="56">(($F$9-F42)/$F$9)</f>
        <v>0</v>
      </c>
      <c r="AK42" s="94">
        <f t="shared" si="28"/>
        <v>8.4003478260869527E-2</v>
      </c>
      <c r="AL42" s="94">
        <f t="shared" si="29"/>
        <v>0.16800695652173905</v>
      </c>
      <c r="AM42" s="94">
        <f t="shared" si="30"/>
        <v>0.33601391304347833</v>
      </c>
      <c r="AN42" s="94">
        <f t="shared" si="31"/>
        <v>0.50402086956521741</v>
      </c>
      <c r="AO42" s="94">
        <f t="shared" si="32"/>
        <v>0.67202782608695666</v>
      </c>
      <c r="AP42" s="95">
        <f t="shared" si="33"/>
        <v>0.84003478260869568</v>
      </c>
      <c r="AQ42" s="93">
        <f t="shared" si="34"/>
        <v>9.9999999999999978E-2</v>
      </c>
      <c r="AR42" s="94">
        <f t="shared" si="35"/>
        <v>0.17400347826086954</v>
      </c>
      <c r="AS42" s="94">
        <f t="shared" si="36"/>
        <v>0.24800695652173899</v>
      </c>
      <c r="AT42" s="94">
        <f t="shared" si="37"/>
        <v>0.39601391304347833</v>
      </c>
      <c r="AU42" s="94">
        <f t="shared" si="38"/>
        <v>0.54402086956521734</v>
      </c>
      <c r="AV42" s="94">
        <f t="shared" si="39"/>
        <v>0.69202782608695657</v>
      </c>
      <c r="AW42" s="95">
        <f t="shared" si="26"/>
        <v>0.84003478260869568</v>
      </c>
      <c r="AX42" s="93">
        <f t="shared" si="26"/>
        <v>0.19999999999999996</v>
      </c>
      <c r="AY42" s="94">
        <f t="shared" si="26"/>
        <v>0.26400347826086945</v>
      </c>
      <c r="AZ42" s="94">
        <f t="shared" si="26"/>
        <v>0.32800695652173906</v>
      </c>
      <c r="BA42" s="94">
        <f t="shared" si="26"/>
        <v>0.45601391304347833</v>
      </c>
      <c r="BB42" s="94">
        <f t="shared" si="26"/>
        <v>0.58402086956521737</v>
      </c>
      <c r="BC42" s="94">
        <f t="shared" si="26"/>
        <v>0.71202782608695658</v>
      </c>
      <c r="BD42" s="95">
        <f t="shared" si="26"/>
        <v>0.84003478260869568</v>
      </c>
      <c r="BE42" s="93">
        <f t="shared" si="26"/>
        <v>0.30000000000000004</v>
      </c>
      <c r="BF42" s="94">
        <f t="shared" si="26"/>
        <v>0.35400347826086959</v>
      </c>
      <c r="BG42" s="94">
        <f t="shared" si="26"/>
        <v>0.40800695652173907</v>
      </c>
      <c r="BH42" s="94">
        <f t="shared" si="26"/>
        <v>0.51601391304347832</v>
      </c>
      <c r="BI42" s="94">
        <f t="shared" si="26"/>
        <v>0.62402086956521741</v>
      </c>
      <c r="BJ42" s="94">
        <f t="shared" si="26"/>
        <v>0.7320278260869566</v>
      </c>
      <c r="BK42" s="95">
        <f t="shared" si="26"/>
        <v>0.84003478260869568</v>
      </c>
      <c r="BN42" s="94"/>
      <c r="BO42" s="94"/>
      <c r="BP42" s="94"/>
      <c r="BQ42" s="94"/>
      <c r="BR42" s="94"/>
      <c r="BS42" s="94"/>
      <c r="BT42" s="94"/>
      <c r="BU42" s="94"/>
      <c r="BV42" s="94"/>
      <c r="BW42" s="94"/>
      <c r="BX42" s="94"/>
      <c r="BY42" s="94"/>
      <c r="BZ42" s="94"/>
      <c r="CA42" s="94"/>
      <c r="CB42" s="94"/>
      <c r="CC42" s="94"/>
      <c r="CD42" s="94"/>
      <c r="CE42" s="94"/>
      <c r="CF42" s="94"/>
      <c r="CG42" s="94"/>
      <c r="CH42" s="94"/>
      <c r="CI42" s="94"/>
      <c r="CJ42" s="94"/>
      <c r="CK42" s="94"/>
      <c r="CL42" s="94"/>
      <c r="CM42" s="94"/>
      <c r="CN42" s="94"/>
      <c r="CO42" s="94"/>
    </row>
    <row r="43" spans="1:93">
      <c r="A43" s="221">
        <v>0.8</v>
      </c>
      <c r="B43" s="72"/>
      <c r="C43" s="120">
        <v>0.4</v>
      </c>
      <c r="D43" s="73">
        <f t="shared" si="5"/>
        <v>0.1134</v>
      </c>
      <c r="E43" s="74">
        <f>B$41*D43</f>
        <v>16.556399999999996</v>
      </c>
      <c r="F43" s="78">
        <f t="shared" ref="F43:G44" si="57">$F$5*(1-F$7)+$E43*(F$7)</f>
        <v>138</v>
      </c>
      <c r="G43" s="79">
        <f t="shared" si="57"/>
        <v>125.85564000000001</v>
      </c>
      <c r="H43" s="79">
        <f t="shared" si="22"/>
        <v>113.71128</v>
      </c>
      <c r="I43" s="79">
        <f t="shared" si="22"/>
        <v>89.42255999999999</v>
      </c>
      <c r="J43" s="79">
        <f t="shared" si="22"/>
        <v>65.133840000000006</v>
      </c>
      <c r="K43" s="79">
        <f t="shared" si="22"/>
        <v>40.845119999999994</v>
      </c>
      <c r="L43" s="80">
        <f t="shared" si="22"/>
        <v>16.556399999999996</v>
      </c>
      <c r="M43" s="78">
        <f t="shared" si="53"/>
        <v>124.2</v>
      </c>
      <c r="N43" s="79">
        <f t="shared" si="53"/>
        <v>113.43564000000001</v>
      </c>
      <c r="O43" s="79">
        <f t="shared" si="53"/>
        <v>102.67128000000001</v>
      </c>
      <c r="P43" s="79">
        <f t="shared" si="53"/>
        <v>81.142559999999989</v>
      </c>
      <c r="Q43" s="79">
        <f t="shared" si="53"/>
        <v>59.613840000000003</v>
      </c>
      <c r="R43" s="79">
        <f t="shared" si="53"/>
        <v>38.085119999999996</v>
      </c>
      <c r="S43" s="80">
        <f t="shared" si="53"/>
        <v>16.556399999999996</v>
      </c>
      <c r="T43" s="78">
        <f t="shared" si="54"/>
        <v>110.4</v>
      </c>
      <c r="U43" s="79">
        <f t="shared" si="54"/>
        <v>101.01564000000002</v>
      </c>
      <c r="V43" s="79">
        <f t="shared" si="54"/>
        <v>91.631280000000004</v>
      </c>
      <c r="W43" s="79">
        <f t="shared" si="54"/>
        <v>72.862559999999988</v>
      </c>
      <c r="X43" s="79">
        <f t="shared" si="54"/>
        <v>54.09384</v>
      </c>
      <c r="Y43" s="79">
        <f t="shared" si="54"/>
        <v>35.325119999999991</v>
      </c>
      <c r="Z43" s="80">
        <f t="shared" si="54"/>
        <v>16.556399999999996</v>
      </c>
      <c r="AA43" s="78">
        <f t="shared" si="55"/>
        <v>96.6</v>
      </c>
      <c r="AB43" s="79">
        <f t="shared" si="55"/>
        <v>88.595640000000003</v>
      </c>
      <c r="AC43" s="79">
        <f t="shared" si="55"/>
        <v>80.591279999999998</v>
      </c>
      <c r="AD43" s="79">
        <f t="shared" si="55"/>
        <v>64.582559999999987</v>
      </c>
      <c r="AE43" s="79">
        <f t="shared" si="55"/>
        <v>48.573839999999997</v>
      </c>
      <c r="AF43" s="79">
        <f t="shared" si="55"/>
        <v>32.565119999999993</v>
      </c>
      <c r="AG43" s="80">
        <f t="shared" si="55"/>
        <v>16.556399999999996</v>
      </c>
      <c r="AJ43" s="93">
        <f t="shared" si="56"/>
        <v>0</v>
      </c>
      <c r="AK43" s="94">
        <f t="shared" si="28"/>
        <v>8.8002608695652115E-2</v>
      </c>
      <c r="AL43" s="94">
        <f t="shared" si="29"/>
        <v>0.17600521739130434</v>
      </c>
      <c r="AM43" s="94">
        <f t="shared" si="30"/>
        <v>0.35201043478260879</v>
      </c>
      <c r="AN43" s="94">
        <f t="shared" si="31"/>
        <v>0.528015652173913</v>
      </c>
      <c r="AO43" s="94">
        <f t="shared" si="32"/>
        <v>0.70402086956521748</v>
      </c>
      <c r="AP43" s="95">
        <f t="shared" si="33"/>
        <v>0.88002608695652174</v>
      </c>
      <c r="AQ43" s="93">
        <f t="shared" si="34"/>
        <v>9.9999999999999978E-2</v>
      </c>
      <c r="AR43" s="94">
        <f t="shared" si="35"/>
        <v>0.17800260869565213</v>
      </c>
      <c r="AS43" s="94">
        <f t="shared" si="36"/>
        <v>0.25600521739130427</v>
      </c>
      <c r="AT43" s="94">
        <f t="shared" si="37"/>
        <v>0.41201043478260879</v>
      </c>
      <c r="AU43" s="94">
        <f t="shared" si="38"/>
        <v>0.56801565217391292</v>
      </c>
      <c r="AV43" s="94">
        <f t="shared" si="39"/>
        <v>0.7240208695652175</v>
      </c>
      <c r="AW43" s="95">
        <f t="shared" si="26"/>
        <v>0.88002608695652174</v>
      </c>
      <c r="AX43" s="93">
        <f t="shared" si="26"/>
        <v>0.19999999999999996</v>
      </c>
      <c r="AY43" s="94">
        <f t="shared" si="26"/>
        <v>0.26800260869565201</v>
      </c>
      <c r="AZ43" s="94">
        <f t="shared" ref="AZ43:AZ44" si="58">(($F$9-V43)/$F$9)</f>
        <v>0.33600521739130434</v>
      </c>
      <c r="BA43" s="94">
        <f t="shared" ref="BA43:BA44" si="59">(($F$9-W43)/$F$9)</f>
        <v>0.47201043478260879</v>
      </c>
      <c r="BB43" s="94">
        <f t="shared" ref="BB43:BB44" si="60">(($F$9-X43)/$F$9)</f>
        <v>0.60801565217391307</v>
      </c>
      <c r="BC43" s="94">
        <f t="shared" ref="BC43:BC44" si="61">(($F$9-Y43)/$F$9)</f>
        <v>0.7440208695652174</v>
      </c>
      <c r="BD43" s="95">
        <f t="shared" ref="BD43:BD44" si="62">(($F$9-Z43)/$F$9)</f>
        <v>0.88002608695652174</v>
      </c>
      <c r="BE43" s="93">
        <f t="shared" ref="BE43:BE44" si="63">(($F$9-AA43)/$F$9)</f>
        <v>0.30000000000000004</v>
      </c>
      <c r="BF43" s="94">
        <f t="shared" ref="BF43:BF44" si="64">(($F$9-AB43)/$F$9)</f>
        <v>0.35800260869565215</v>
      </c>
      <c r="BG43" s="94">
        <f t="shared" ref="BG43:BG44" si="65">(($F$9-AC43)/$F$9)</f>
        <v>0.41600521739130436</v>
      </c>
      <c r="BH43" s="94">
        <f t="shared" ref="BH43:BH44" si="66">(($F$9-AD43)/$F$9)</f>
        <v>0.53201043478260879</v>
      </c>
      <c r="BI43" s="94">
        <f t="shared" ref="BI43:BI44" si="67">(($F$9-AE43)/$F$9)</f>
        <v>0.6480156521739131</v>
      </c>
      <c r="BJ43" s="94">
        <f t="shared" ref="BJ43:BJ44" si="68">(($F$9-AF43)/$F$9)</f>
        <v>0.76402086956521742</v>
      </c>
      <c r="BK43" s="95">
        <f t="shared" ref="BK43:BK44" si="69">(($F$9-AG43)/$F$9)</f>
        <v>0.88002608695652174</v>
      </c>
      <c r="BN43" s="94"/>
      <c r="BO43" s="94"/>
      <c r="BP43" s="94"/>
      <c r="BQ43" s="94"/>
      <c r="BR43" s="94"/>
      <c r="BS43" s="94"/>
      <c r="BT43" s="94"/>
      <c r="BU43" s="94"/>
      <c r="BV43" s="94"/>
      <c r="BW43" s="94"/>
      <c r="BX43" s="94"/>
      <c r="BY43" s="94"/>
      <c r="BZ43" s="94"/>
      <c r="CA43" s="94"/>
      <c r="CB43" s="94"/>
      <c r="CC43" s="94"/>
      <c r="CD43" s="94"/>
      <c r="CE43" s="94"/>
      <c r="CF43" s="94"/>
      <c r="CG43" s="94"/>
      <c r="CH43" s="94"/>
      <c r="CI43" s="94"/>
      <c r="CJ43" s="94"/>
      <c r="CK43" s="94"/>
      <c r="CL43" s="94"/>
      <c r="CM43" s="94"/>
      <c r="CN43" s="94"/>
      <c r="CO43" s="94"/>
    </row>
    <row r="44" spans="1:93" ht="15" thickBot="1">
      <c r="A44" s="222">
        <v>0.8</v>
      </c>
      <c r="B44" s="72"/>
      <c r="C44" s="121">
        <v>0.6</v>
      </c>
      <c r="D44" s="73">
        <f t="shared" si="5"/>
        <v>7.5600000000000001E-2</v>
      </c>
      <c r="E44" s="74">
        <f>B$41*D44</f>
        <v>11.037599999999998</v>
      </c>
      <c r="F44" s="81">
        <f t="shared" si="57"/>
        <v>138</v>
      </c>
      <c r="G44" s="82">
        <f t="shared" si="57"/>
        <v>125.30376</v>
      </c>
      <c r="H44" s="82">
        <f t="shared" si="22"/>
        <v>112.60752000000001</v>
      </c>
      <c r="I44" s="82">
        <f t="shared" si="22"/>
        <v>87.215040000000002</v>
      </c>
      <c r="J44" s="82">
        <f t="shared" si="22"/>
        <v>61.822560000000003</v>
      </c>
      <c r="K44" s="82">
        <f t="shared" si="22"/>
        <v>36.43007999999999</v>
      </c>
      <c r="L44" s="83">
        <f t="shared" si="22"/>
        <v>11.037599999999998</v>
      </c>
      <c r="M44" s="81">
        <f t="shared" si="53"/>
        <v>124.2</v>
      </c>
      <c r="N44" s="82">
        <f t="shared" si="53"/>
        <v>112.88376</v>
      </c>
      <c r="O44" s="82">
        <f t="shared" si="53"/>
        <v>101.56752000000002</v>
      </c>
      <c r="P44" s="82">
        <f t="shared" si="53"/>
        <v>78.935040000000001</v>
      </c>
      <c r="Q44" s="82">
        <f t="shared" si="53"/>
        <v>56.302560000000007</v>
      </c>
      <c r="R44" s="82">
        <f t="shared" si="53"/>
        <v>33.670079999999999</v>
      </c>
      <c r="S44" s="83">
        <f t="shared" si="53"/>
        <v>11.037599999999998</v>
      </c>
      <c r="T44" s="81">
        <f t="shared" si="54"/>
        <v>110.4</v>
      </c>
      <c r="U44" s="82">
        <f t="shared" si="54"/>
        <v>100.46376000000001</v>
      </c>
      <c r="V44" s="82">
        <f t="shared" si="54"/>
        <v>90.52752000000001</v>
      </c>
      <c r="W44" s="82">
        <f t="shared" si="54"/>
        <v>70.65504</v>
      </c>
      <c r="X44" s="82">
        <f t="shared" si="54"/>
        <v>50.782560000000004</v>
      </c>
      <c r="Y44" s="82">
        <f t="shared" si="54"/>
        <v>30.910079999999994</v>
      </c>
      <c r="Z44" s="83">
        <f t="shared" si="54"/>
        <v>11.037599999999998</v>
      </c>
      <c r="AA44" s="81">
        <f t="shared" si="55"/>
        <v>96.6</v>
      </c>
      <c r="AB44" s="82">
        <f t="shared" si="55"/>
        <v>88.043759999999992</v>
      </c>
      <c r="AC44" s="82">
        <f t="shared" si="55"/>
        <v>79.487520000000004</v>
      </c>
      <c r="AD44" s="82">
        <f t="shared" si="55"/>
        <v>62.375039999999991</v>
      </c>
      <c r="AE44" s="82">
        <f t="shared" si="55"/>
        <v>45.262560000000001</v>
      </c>
      <c r="AF44" s="82">
        <f t="shared" si="55"/>
        <v>28.150079999999992</v>
      </c>
      <c r="AG44" s="83">
        <f t="shared" si="55"/>
        <v>11.037599999999998</v>
      </c>
      <c r="AJ44" s="96">
        <f t="shared" si="56"/>
        <v>0</v>
      </c>
      <c r="AK44" s="97">
        <f t="shared" si="28"/>
        <v>9.2001739130434801E-2</v>
      </c>
      <c r="AL44" s="97">
        <f t="shared" si="29"/>
        <v>0.18400347826086952</v>
      </c>
      <c r="AM44" s="97">
        <f t="shared" si="30"/>
        <v>0.36800695652173909</v>
      </c>
      <c r="AN44" s="97">
        <f t="shared" si="31"/>
        <v>0.55201043478260858</v>
      </c>
      <c r="AO44" s="97">
        <f t="shared" si="32"/>
        <v>0.7360139130434783</v>
      </c>
      <c r="AP44" s="98">
        <f t="shared" si="33"/>
        <v>0.9200173913043479</v>
      </c>
      <c r="AQ44" s="96">
        <f t="shared" si="34"/>
        <v>9.9999999999999978E-2</v>
      </c>
      <c r="AR44" s="97">
        <f t="shared" si="35"/>
        <v>0.18200173913043483</v>
      </c>
      <c r="AS44" s="97">
        <f t="shared" si="36"/>
        <v>0.26400347826086945</v>
      </c>
      <c r="AT44" s="97">
        <f t="shared" si="37"/>
        <v>0.42800695652173915</v>
      </c>
      <c r="AU44" s="97">
        <f t="shared" si="38"/>
        <v>0.59201043478260873</v>
      </c>
      <c r="AV44" s="97">
        <f t="shared" si="39"/>
        <v>0.75601391304347831</v>
      </c>
      <c r="AW44" s="98">
        <f t="shared" si="26"/>
        <v>0.9200173913043479</v>
      </c>
      <c r="AX44" s="96">
        <f t="shared" si="26"/>
        <v>0.19999999999999996</v>
      </c>
      <c r="AY44" s="97">
        <f t="shared" si="26"/>
        <v>0.27200173913043474</v>
      </c>
      <c r="AZ44" s="97">
        <f t="shared" si="58"/>
        <v>0.34400347826086952</v>
      </c>
      <c r="BA44" s="97">
        <f t="shared" si="59"/>
        <v>0.48800695652173914</v>
      </c>
      <c r="BB44" s="97">
        <f t="shared" si="60"/>
        <v>0.63201043478260865</v>
      </c>
      <c r="BC44" s="97">
        <f t="shared" si="61"/>
        <v>0.77601391304347833</v>
      </c>
      <c r="BD44" s="98">
        <f t="shared" si="62"/>
        <v>0.9200173913043479</v>
      </c>
      <c r="BE44" s="96">
        <f t="shared" si="63"/>
        <v>0.30000000000000004</v>
      </c>
      <c r="BF44" s="97">
        <f t="shared" si="64"/>
        <v>0.36200173913043482</v>
      </c>
      <c r="BG44" s="97">
        <f t="shared" si="65"/>
        <v>0.42400347826086954</v>
      </c>
      <c r="BH44" s="97">
        <f t="shared" si="66"/>
        <v>0.54800695652173925</v>
      </c>
      <c r="BI44" s="97">
        <f t="shared" si="67"/>
        <v>0.67201043478260869</v>
      </c>
      <c r="BJ44" s="97">
        <f t="shared" si="68"/>
        <v>0.79601391304347835</v>
      </c>
      <c r="BK44" s="98">
        <f t="shared" si="69"/>
        <v>0.9200173913043479</v>
      </c>
      <c r="BN44" s="94"/>
      <c r="BO44" s="94"/>
      <c r="BP44" s="94"/>
      <c r="BQ44" s="94"/>
      <c r="BR44" s="94"/>
      <c r="BS44" s="94"/>
      <c r="BT44" s="94"/>
      <c r="BU44" s="94"/>
      <c r="BV44" s="94"/>
      <c r="BW44" s="94"/>
      <c r="BX44" s="94"/>
      <c r="BY44" s="94"/>
      <c r="BZ44" s="94"/>
      <c r="CA44" s="94"/>
      <c r="CB44" s="94"/>
      <c r="CC44" s="94"/>
      <c r="CD44" s="94"/>
      <c r="CE44" s="94"/>
      <c r="CF44" s="94"/>
      <c r="CG44" s="94"/>
      <c r="CH44" s="94"/>
      <c r="CI44" s="94"/>
      <c r="CJ44" s="94"/>
      <c r="CK44" s="94"/>
      <c r="CL44" s="94"/>
      <c r="CM44" s="94"/>
      <c r="CN44" s="94"/>
      <c r="CO44" s="94"/>
    </row>
    <row r="45" spans="1:93">
      <c r="A45" s="220">
        <v>0.9</v>
      </c>
      <c r="B45" s="74">
        <f>B$9*(1-A45)+B$49*A45</f>
        <v>77.999999999999986</v>
      </c>
      <c r="C45" s="119">
        <v>0</v>
      </c>
      <c r="D45" s="73">
        <f t="shared" si="5"/>
        <v>0.189</v>
      </c>
      <c r="E45" s="74">
        <f>B$45*D45</f>
        <v>14.741999999999997</v>
      </c>
      <c r="F45" s="75">
        <f>$F$5*(1-F$7)+$E45*(F$7)</f>
        <v>138</v>
      </c>
      <c r="G45" s="76">
        <f t="shared" si="22"/>
        <v>125.6742</v>
      </c>
      <c r="H45" s="76">
        <f t="shared" si="22"/>
        <v>113.3484</v>
      </c>
      <c r="I45" s="76">
        <f t="shared" si="22"/>
        <v>88.696799999999996</v>
      </c>
      <c r="J45" s="76">
        <f t="shared" si="22"/>
        <v>64.045199999999994</v>
      </c>
      <c r="K45" s="76">
        <f t="shared" si="22"/>
        <v>39.393599999999992</v>
      </c>
      <c r="L45" s="77">
        <f t="shared" si="22"/>
        <v>14.741999999999997</v>
      </c>
      <c r="M45" s="75">
        <f t="shared" si="53"/>
        <v>124.2</v>
      </c>
      <c r="N45" s="76">
        <f t="shared" si="53"/>
        <v>113.2542</v>
      </c>
      <c r="O45" s="76">
        <f t="shared" si="53"/>
        <v>102.30840000000001</v>
      </c>
      <c r="P45" s="76">
        <f t="shared" si="53"/>
        <v>80.416799999999995</v>
      </c>
      <c r="Q45" s="76">
        <f t="shared" si="53"/>
        <v>58.525200000000005</v>
      </c>
      <c r="R45" s="76">
        <f t="shared" si="53"/>
        <v>36.633599999999994</v>
      </c>
      <c r="S45" s="77">
        <f t="shared" si="53"/>
        <v>14.741999999999997</v>
      </c>
      <c r="T45" s="75">
        <f t="shared" si="54"/>
        <v>110.4</v>
      </c>
      <c r="U45" s="76">
        <f t="shared" si="54"/>
        <v>100.83420000000001</v>
      </c>
      <c r="V45" s="76">
        <f t="shared" si="54"/>
        <v>91.268400000000014</v>
      </c>
      <c r="W45" s="76">
        <f t="shared" si="54"/>
        <v>72.136799999999994</v>
      </c>
      <c r="X45" s="76">
        <f t="shared" si="54"/>
        <v>53.005200000000002</v>
      </c>
      <c r="Y45" s="76">
        <f t="shared" si="54"/>
        <v>33.873599999999996</v>
      </c>
      <c r="Z45" s="77">
        <f t="shared" si="54"/>
        <v>14.741999999999997</v>
      </c>
      <c r="AA45" s="75">
        <f t="shared" si="55"/>
        <v>96.6</v>
      </c>
      <c r="AB45" s="76">
        <f t="shared" si="55"/>
        <v>88.414199999999994</v>
      </c>
      <c r="AC45" s="76">
        <f t="shared" si="55"/>
        <v>80.228399999999993</v>
      </c>
      <c r="AD45" s="76">
        <f t="shared" si="55"/>
        <v>63.856799999999993</v>
      </c>
      <c r="AE45" s="76">
        <f t="shared" si="55"/>
        <v>47.485199999999999</v>
      </c>
      <c r="AF45" s="76">
        <f t="shared" si="55"/>
        <v>31.113599999999991</v>
      </c>
      <c r="AG45" s="77">
        <f t="shared" si="55"/>
        <v>14.741999999999997</v>
      </c>
      <c r="AJ45" s="90">
        <f>(($F$9-F45)/$F$9)</f>
        <v>0</v>
      </c>
      <c r="AK45" s="91">
        <f t="shared" si="28"/>
        <v>8.9317391304347835E-2</v>
      </c>
      <c r="AL45" s="91">
        <f t="shared" si="29"/>
        <v>0.17863478260869567</v>
      </c>
      <c r="AM45" s="91">
        <f t="shared" si="30"/>
        <v>0.35726956521739134</v>
      </c>
      <c r="AN45" s="91">
        <f t="shared" si="31"/>
        <v>0.53590434782608698</v>
      </c>
      <c r="AO45" s="91">
        <f t="shared" si="32"/>
        <v>0.71453913043478268</v>
      </c>
      <c r="AP45" s="92">
        <f t="shared" si="33"/>
        <v>0.89317391304347837</v>
      </c>
      <c r="AQ45" s="90">
        <f t="shared" si="34"/>
        <v>9.9999999999999978E-2</v>
      </c>
      <c r="AR45" s="91">
        <f t="shared" si="35"/>
        <v>0.17931739130434785</v>
      </c>
      <c r="AS45" s="91">
        <f t="shared" si="36"/>
        <v>0.2586347826086956</v>
      </c>
      <c r="AT45" s="91">
        <f t="shared" si="37"/>
        <v>0.41726956521739134</v>
      </c>
      <c r="AU45" s="91">
        <f t="shared" si="38"/>
        <v>0.5759043478260869</v>
      </c>
      <c r="AV45" s="91">
        <f t="shared" si="39"/>
        <v>0.73453913043478258</v>
      </c>
      <c r="AW45" s="92">
        <f t="shared" si="26"/>
        <v>0.89317391304347837</v>
      </c>
      <c r="AX45" s="90">
        <f t="shared" si="26"/>
        <v>0.19999999999999996</v>
      </c>
      <c r="AY45" s="91">
        <f t="shared" si="26"/>
        <v>0.26931739130434773</v>
      </c>
      <c r="AZ45" s="91">
        <f t="shared" si="26"/>
        <v>0.33863478260869556</v>
      </c>
      <c r="BA45" s="91">
        <f t="shared" si="26"/>
        <v>0.47726956521739133</v>
      </c>
      <c r="BB45" s="91">
        <f t="shared" si="26"/>
        <v>0.61590434782608694</v>
      </c>
      <c r="BC45" s="91">
        <f t="shared" si="26"/>
        <v>0.7545391304347826</v>
      </c>
      <c r="BD45" s="92">
        <f t="shared" si="26"/>
        <v>0.89317391304347837</v>
      </c>
      <c r="BE45" s="90">
        <f t="shared" si="26"/>
        <v>0.30000000000000004</v>
      </c>
      <c r="BF45" s="91">
        <f t="shared" si="26"/>
        <v>0.35931739130434787</v>
      </c>
      <c r="BG45" s="91">
        <f t="shared" si="26"/>
        <v>0.41863478260869569</v>
      </c>
      <c r="BH45" s="91">
        <f t="shared" si="26"/>
        <v>0.53726956521739133</v>
      </c>
      <c r="BI45" s="91">
        <f t="shared" si="26"/>
        <v>0.65590434782608698</v>
      </c>
      <c r="BJ45" s="91">
        <f t="shared" si="26"/>
        <v>0.77453913043478262</v>
      </c>
      <c r="BK45" s="92">
        <f t="shared" si="26"/>
        <v>0.89317391304347837</v>
      </c>
      <c r="BN45" s="94"/>
      <c r="BO45" s="94"/>
      <c r="BP45" s="94"/>
      <c r="BQ45" s="94"/>
      <c r="BR45" s="94"/>
      <c r="BS45" s="94"/>
      <c r="BT45" s="94"/>
      <c r="BU45" s="94"/>
      <c r="BV45" s="94"/>
      <c r="BW45" s="94"/>
      <c r="BX45" s="94"/>
      <c r="BY45" s="94"/>
      <c r="BZ45" s="94"/>
      <c r="CA45" s="94"/>
      <c r="CB45" s="94"/>
      <c r="CC45" s="94"/>
      <c r="CD45" s="94"/>
      <c r="CE45" s="94"/>
      <c r="CF45" s="94"/>
      <c r="CG45" s="94"/>
      <c r="CH45" s="94"/>
      <c r="CI45" s="94"/>
      <c r="CJ45" s="94"/>
      <c r="CK45" s="94"/>
      <c r="CL45" s="94"/>
      <c r="CM45" s="94"/>
      <c r="CN45" s="94"/>
      <c r="CO45" s="94"/>
    </row>
    <row r="46" spans="1:93">
      <c r="A46" s="221">
        <v>0.9</v>
      </c>
      <c r="B46" s="72"/>
      <c r="C46" s="120">
        <v>0.2</v>
      </c>
      <c r="D46" s="73">
        <f t="shared" si="5"/>
        <v>0.1512</v>
      </c>
      <c r="E46" s="74">
        <f>B$45*D46</f>
        <v>11.793599999999998</v>
      </c>
      <c r="F46" s="78">
        <f>$F$5*(1-F$7)+$E46*(F$7)</f>
        <v>138</v>
      </c>
      <c r="G46" s="79">
        <f>$F$5*(1-G$7)+$E46*(G$7)</f>
        <v>125.37936000000001</v>
      </c>
      <c r="H46" s="79">
        <f t="shared" si="22"/>
        <v>112.75872000000001</v>
      </c>
      <c r="I46" s="79">
        <f t="shared" si="22"/>
        <v>87.517439999999993</v>
      </c>
      <c r="J46" s="79">
        <f t="shared" si="22"/>
        <v>62.276160000000004</v>
      </c>
      <c r="K46" s="79">
        <f t="shared" si="22"/>
        <v>37.034879999999994</v>
      </c>
      <c r="L46" s="80">
        <f t="shared" si="22"/>
        <v>11.793599999999998</v>
      </c>
      <c r="M46" s="78">
        <f t="shared" si="53"/>
        <v>124.2</v>
      </c>
      <c r="N46" s="79">
        <f t="shared" si="53"/>
        <v>112.95936</v>
      </c>
      <c r="O46" s="79">
        <f t="shared" si="53"/>
        <v>101.71872000000002</v>
      </c>
      <c r="P46" s="79">
        <f t="shared" si="53"/>
        <v>79.237439999999992</v>
      </c>
      <c r="Q46" s="79">
        <f t="shared" si="53"/>
        <v>56.756160000000008</v>
      </c>
      <c r="R46" s="79">
        <f t="shared" si="53"/>
        <v>34.274879999999996</v>
      </c>
      <c r="S46" s="80">
        <f t="shared" si="53"/>
        <v>11.793599999999998</v>
      </c>
      <c r="T46" s="78">
        <f t="shared" si="54"/>
        <v>110.4</v>
      </c>
      <c r="U46" s="79">
        <f t="shared" si="54"/>
        <v>100.53936000000002</v>
      </c>
      <c r="V46" s="79">
        <f t="shared" si="54"/>
        <v>90.678720000000013</v>
      </c>
      <c r="W46" s="79">
        <f t="shared" si="54"/>
        <v>70.957439999999991</v>
      </c>
      <c r="X46" s="79">
        <f t="shared" si="54"/>
        <v>51.236160000000005</v>
      </c>
      <c r="Y46" s="79">
        <f t="shared" si="54"/>
        <v>31.514879999999991</v>
      </c>
      <c r="Z46" s="80">
        <f t="shared" si="54"/>
        <v>11.793599999999998</v>
      </c>
      <c r="AA46" s="78">
        <f t="shared" si="55"/>
        <v>96.6</v>
      </c>
      <c r="AB46" s="79">
        <f t="shared" si="55"/>
        <v>88.11936</v>
      </c>
      <c r="AC46" s="79">
        <f t="shared" si="55"/>
        <v>79.638720000000006</v>
      </c>
      <c r="AD46" s="79">
        <f t="shared" si="55"/>
        <v>62.67743999999999</v>
      </c>
      <c r="AE46" s="79">
        <f t="shared" si="55"/>
        <v>45.716160000000002</v>
      </c>
      <c r="AF46" s="79">
        <f t="shared" si="55"/>
        <v>28.754879999999993</v>
      </c>
      <c r="AG46" s="80">
        <f t="shared" si="55"/>
        <v>11.793599999999998</v>
      </c>
      <c r="AJ46" s="93">
        <f t="shared" ref="AJ46:AJ48" si="70">(($F$9-F46)/$F$9)</f>
        <v>0</v>
      </c>
      <c r="AK46" s="94">
        <f t="shared" si="28"/>
        <v>9.1453913043478219E-2</v>
      </c>
      <c r="AL46" s="94">
        <f t="shared" si="29"/>
        <v>0.18290782608695644</v>
      </c>
      <c r="AM46" s="94">
        <f t="shared" si="30"/>
        <v>0.3658156521739131</v>
      </c>
      <c r="AN46" s="94">
        <f t="shared" si="31"/>
        <v>0.54872347826086953</v>
      </c>
      <c r="AO46" s="94">
        <f t="shared" si="32"/>
        <v>0.73163130434782619</v>
      </c>
      <c r="AP46" s="95">
        <f t="shared" si="33"/>
        <v>0.91453913043478263</v>
      </c>
      <c r="AQ46" s="93">
        <f t="shared" si="34"/>
        <v>9.9999999999999978E-2</v>
      </c>
      <c r="AR46" s="94">
        <f t="shared" si="35"/>
        <v>0.18145391304347824</v>
      </c>
      <c r="AS46" s="94">
        <f t="shared" si="36"/>
        <v>0.2629078260869564</v>
      </c>
      <c r="AT46" s="94">
        <f t="shared" si="37"/>
        <v>0.4258156521739131</v>
      </c>
      <c r="AU46" s="94">
        <f t="shared" si="38"/>
        <v>0.58872347826086946</v>
      </c>
      <c r="AV46" s="94">
        <f t="shared" si="39"/>
        <v>0.7516313043478261</v>
      </c>
      <c r="AW46" s="95">
        <f t="shared" si="26"/>
        <v>0.91453913043478263</v>
      </c>
      <c r="AX46" s="93">
        <f t="shared" si="26"/>
        <v>0.19999999999999996</v>
      </c>
      <c r="AY46" s="94">
        <f t="shared" si="26"/>
        <v>0.27145391304347816</v>
      </c>
      <c r="AZ46" s="94">
        <f t="shared" si="26"/>
        <v>0.34290782608695641</v>
      </c>
      <c r="BA46" s="94">
        <f t="shared" si="26"/>
        <v>0.48581565217391309</v>
      </c>
      <c r="BB46" s="94">
        <f t="shared" si="26"/>
        <v>0.62872347826086949</v>
      </c>
      <c r="BC46" s="94">
        <f t="shared" si="26"/>
        <v>0.77163130434782612</v>
      </c>
      <c r="BD46" s="95">
        <f t="shared" si="26"/>
        <v>0.91453913043478263</v>
      </c>
      <c r="BE46" s="93">
        <f t="shared" si="26"/>
        <v>0.30000000000000004</v>
      </c>
      <c r="BF46" s="94">
        <f t="shared" si="26"/>
        <v>0.36145391304347824</v>
      </c>
      <c r="BG46" s="94">
        <f t="shared" si="26"/>
        <v>0.42290782608695648</v>
      </c>
      <c r="BH46" s="94">
        <f t="shared" si="26"/>
        <v>0.54581565217391315</v>
      </c>
      <c r="BI46" s="94">
        <f t="shared" si="26"/>
        <v>0.66872347826086953</v>
      </c>
      <c r="BJ46" s="94">
        <f t="shared" si="26"/>
        <v>0.79163130434782614</v>
      </c>
      <c r="BK46" s="95">
        <f t="shared" si="26"/>
        <v>0.91453913043478263</v>
      </c>
      <c r="BN46" s="94"/>
      <c r="BO46" s="94"/>
      <c r="BP46" s="94"/>
      <c r="BQ46" s="94"/>
      <c r="BR46" s="94"/>
      <c r="BS46" s="94"/>
      <c r="BT46" s="94"/>
      <c r="BU46" s="94"/>
      <c r="BV46" s="94"/>
      <c r="BW46" s="94"/>
      <c r="BX46" s="94"/>
      <c r="BY46" s="94"/>
      <c r="BZ46" s="94"/>
      <c r="CA46" s="94"/>
      <c r="CB46" s="94"/>
      <c r="CC46" s="94"/>
      <c r="CD46" s="94"/>
      <c r="CE46" s="94"/>
      <c r="CF46" s="94"/>
      <c r="CG46" s="94"/>
      <c r="CH46" s="94"/>
      <c r="CI46" s="94"/>
      <c r="CJ46" s="94"/>
      <c r="CK46" s="94"/>
      <c r="CL46" s="94"/>
      <c r="CM46" s="94"/>
      <c r="CN46" s="94"/>
      <c r="CO46" s="94"/>
    </row>
    <row r="47" spans="1:93">
      <c r="A47" s="221">
        <v>0.9</v>
      </c>
      <c r="B47" s="72"/>
      <c r="C47" s="120">
        <v>0.4</v>
      </c>
      <c r="D47" s="73">
        <f t="shared" si="5"/>
        <v>0.1134</v>
      </c>
      <c r="E47" s="74">
        <f>B$45*D47</f>
        <v>8.8451999999999984</v>
      </c>
      <c r="F47" s="78">
        <f t="shared" ref="F47:L52" si="71">$F$5*(1-F$7)+$E47*(F$7)</f>
        <v>138</v>
      </c>
      <c r="G47" s="79">
        <f t="shared" si="71"/>
        <v>125.08452</v>
      </c>
      <c r="H47" s="79">
        <f t="shared" si="71"/>
        <v>112.16904000000001</v>
      </c>
      <c r="I47" s="79">
        <f t="shared" si="71"/>
        <v>86.338079999999991</v>
      </c>
      <c r="J47" s="79">
        <f t="shared" si="71"/>
        <v>60.50712</v>
      </c>
      <c r="K47" s="79">
        <f t="shared" si="71"/>
        <v>34.676159999999996</v>
      </c>
      <c r="L47" s="80">
        <f t="shared" si="71"/>
        <v>8.8451999999999984</v>
      </c>
      <c r="M47" s="78">
        <f t="shared" si="53"/>
        <v>124.2</v>
      </c>
      <c r="N47" s="79">
        <f t="shared" si="53"/>
        <v>112.66452</v>
      </c>
      <c r="O47" s="79">
        <f t="shared" si="53"/>
        <v>101.12904000000002</v>
      </c>
      <c r="P47" s="79">
        <f t="shared" si="53"/>
        <v>78.05807999999999</v>
      </c>
      <c r="Q47" s="79">
        <f t="shared" si="53"/>
        <v>54.987120000000004</v>
      </c>
      <c r="R47" s="79">
        <f t="shared" si="53"/>
        <v>31.916159999999994</v>
      </c>
      <c r="S47" s="80">
        <f t="shared" si="53"/>
        <v>8.8451999999999984</v>
      </c>
      <c r="T47" s="78">
        <f t="shared" si="54"/>
        <v>110.4</v>
      </c>
      <c r="U47" s="79">
        <f t="shared" si="54"/>
        <v>100.24452000000001</v>
      </c>
      <c r="V47" s="79">
        <f t="shared" si="54"/>
        <v>90.089040000000011</v>
      </c>
      <c r="W47" s="79">
        <f t="shared" si="54"/>
        <v>69.778079999999989</v>
      </c>
      <c r="X47" s="79">
        <f t="shared" si="54"/>
        <v>49.467120000000001</v>
      </c>
      <c r="Y47" s="79">
        <f t="shared" si="54"/>
        <v>29.156159999999993</v>
      </c>
      <c r="Z47" s="80">
        <f t="shared" si="54"/>
        <v>8.8451999999999984</v>
      </c>
      <c r="AA47" s="78">
        <f t="shared" si="55"/>
        <v>96.6</v>
      </c>
      <c r="AB47" s="79">
        <f t="shared" si="55"/>
        <v>87.824519999999993</v>
      </c>
      <c r="AC47" s="79">
        <f t="shared" si="55"/>
        <v>79.049040000000005</v>
      </c>
      <c r="AD47" s="79">
        <f t="shared" si="55"/>
        <v>61.498079999999995</v>
      </c>
      <c r="AE47" s="79">
        <f t="shared" si="55"/>
        <v>43.947119999999998</v>
      </c>
      <c r="AF47" s="79">
        <f t="shared" si="55"/>
        <v>26.396159999999991</v>
      </c>
      <c r="AG47" s="80">
        <f t="shared" si="55"/>
        <v>8.8451999999999984</v>
      </c>
      <c r="AJ47" s="93">
        <f t="shared" si="70"/>
        <v>0</v>
      </c>
      <c r="AK47" s="94">
        <f t="shared" si="28"/>
        <v>9.3590434782608714E-2</v>
      </c>
      <c r="AL47" s="94">
        <f t="shared" si="29"/>
        <v>0.18718086956521732</v>
      </c>
      <c r="AM47" s="94">
        <f t="shared" si="30"/>
        <v>0.37436173913043486</v>
      </c>
      <c r="AN47" s="94">
        <f t="shared" si="31"/>
        <v>0.5615426086956522</v>
      </c>
      <c r="AO47" s="94">
        <f t="shared" si="32"/>
        <v>0.7487234782608696</v>
      </c>
      <c r="AP47" s="95">
        <f t="shared" si="33"/>
        <v>0.93590434782608689</v>
      </c>
      <c r="AQ47" s="93">
        <f t="shared" si="34"/>
        <v>9.9999999999999978E-2</v>
      </c>
      <c r="AR47" s="94">
        <f t="shared" si="35"/>
        <v>0.18359043478260872</v>
      </c>
      <c r="AS47" s="94">
        <f t="shared" si="36"/>
        <v>0.26718086956521725</v>
      </c>
      <c r="AT47" s="94">
        <f t="shared" si="37"/>
        <v>0.43436173913043485</v>
      </c>
      <c r="AU47" s="94">
        <f t="shared" si="38"/>
        <v>0.60154260869565213</v>
      </c>
      <c r="AV47" s="94">
        <f t="shared" si="39"/>
        <v>0.76872347826086962</v>
      </c>
      <c r="AW47" s="95">
        <f t="shared" si="26"/>
        <v>0.93590434782608689</v>
      </c>
      <c r="AX47" s="93">
        <f t="shared" si="26"/>
        <v>0.19999999999999996</v>
      </c>
      <c r="AY47" s="94">
        <f t="shared" si="26"/>
        <v>0.27359043478260864</v>
      </c>
      <c r="AZ47" s="94">
        <f t="shared" ref="AZ47:AZ48" si="72">(($F$9-V47)/$F$9)</f>
        <v>0.34718086956521732</v>
      </c>
      <c r="BA47" s="94">
        <f t="shared" ref="BA47:BA48" si="73">(($F$9-W47)/$F$9)</f>
        <v>0.49436173913043485</v>
      </c>
      <c r="BB47" s="94">
        <f t="shared" ref="BB47:BB48" si="74">(($F$9-X47)/$F$9)</f>
        <v>0.64154260869565216</v>
      </c>
      <c r="BC47" s="94">
        <f t="shared" ref="BC47:BC48" si="75">(($F$9-Y47)/$F$9)</f>
        <v>0.78872347826086953</v>
      </c>
      <c r="BD47" s="95">
        <f t="shared" ref="BD47:BD48" si="76">(($F$9-Z47)/$F$9)</f>
        <v>0.93590434782608689</v>
      </c>
      <c r="BE47" s="93">
        <f t="shared" ref="BE47:BE48" si="77">(($F$9-AA47)/$F$9)</f>
        <v>0.30000000000000004</v>
      </c>
      <c r="BF47" s="94">
        <f t="shared" ref="BF47:BF48" si="78">(($F$9-AB47)/$F$9)</f>
        <v>0.36359043478260877</v>
      </c>
      <c r="BG47" s="94">
        <f t="shared" ref="BG47:BG48" si="79">(($F$9-AC47)/$F$9)</f>
        <v>0.42718086956521734</v>
      </c>
      <c r="BH47" s="94">
        <f t="shared" ref="BH47:BH48" si="80">(($F$9-AD47)/$F$9)</f>
        <v>0.55436173913043485</v>
      </c>
      <c r="BI47" s="94">
        <f t="shared" ref="BI47:BI48" si="81">(($F$9-AE47)/$F$9)</f>
        <v>0.6815426086956522</v>
      </c>
      <c r="BJ47" s="94">
        <f t="shared" ref="BJ47:BJ48" si="82">(($F$9-AF47)/$F$9)</f>
        <v>0.80872347826086965</v>
      </c>
      <c r="BK47" s="95">
        <f t="shared" ref="BK47:BK48" si="83">(($F$9-AG47)/$F$9)</f>
        <v>0.93590434782608689</v>
      </c>
      <c r="BN47" s="94"/>
      <c r="BO47" s="94"/>
      <c r="BP47" s="94"/>
      <c r="BQ47" s="94"/>
      <c r="BR47" s="94"/>
      <c r="BS47" s="94"/>
      <c r="BT47" s="94"/>
      <c r="BU47" s="94"/>
      <c r="BV47" s="94"/>
      <c r="BW47" s="94"/>
      <c r="BX47" s="94"/>
      <c r="BY47" s="94"/>
      <c r="BZ47" s="94"/>
      <c r="CA47" s="94"/>
      <c r="CB47" s="94"/>
      <c r="CC47" s="94"/>
      <c r="CD47" s="94"/>
      <c r="CE47" s="94"/>
      <c r="CF47" s="94"/>
      <c r="CG47" s="94"/>
      <c r="CH47" s="94"/>
      <c r="CI47" s="94"/>
      <c r="CJ47" s="94"/>
      <c r="CK47" s="94"/>
      <c r="CL47" s="94"/>
      <c r="CM47" s="94"/>
      <c r="CN47" s="94"/>
      <c r="CO47" s="94"/>
    </row>
    <row r="48" spans="1:93" ht="15" thickBot="1">
      <c r="A48" s="222">
        <v>0.9</v>
      </c>
      <c r="B48" s="72"/>
      <c r="C48" s="121">
        <v>0.6</v>
      </c>
      <c r="D48" s="73">
        <f t="shared" si="5"/>
        <v>7.5600000000000001E-2</v>
      </c>
      <c r="E48" s="74">
        <f>B$45*D48</f>
        <v>5.8967999999999989</v>
      </c>
      <c r="F48" s="81">
        <f t="shared" si="71"/>
        <v>138</v>
      </c>
      <c r="G48" s="82">
        <f t="shared" si="71"/>
        <v>124.78968</v>
      </c>
      <c r="H48" s="82">
        <f t="shared" si="71"/>
        <v>111.57936000000001</v>
      </c>
      <c r="I48" s="82">
        <f t="shared" si="71"/>
        <v>85.158720000000002</v>
      </c>
      <c r="J48" s="82">
        <f t="shared" si="71"/>
        <v>58.738080000000004</v>
      </c>
      <c r="K48" s="82">
        <f t="shared" si="71"/>
        <v>32.317439999999991</v>
      </c>
      <c r="L48" s="83">
        <f t="shared" si="71"/>
        <v>5.8967999999999989</v>
      </c>
      <c r="M48" s="81">
        <f t="shared" si="53"/>
        <v>124.2</v>
      </c>
      <c r="N48" s="82">
        <f t="shared" si="53"/>
        <v>112.36968</v>
      </c>
      <c r="O48" s="82">
        <f t="shared" si="53"/>
        <v>100.53936000000002</v>
      </c>
      <c r="P48" s="82">
        <f t="shared" si="53"/>
        <v>76.878720000000001</v>
      </c>
      <c r="Q48" s="82">
        <f t="shared" si="53"/>
        <v>53.218080000000008</v>
      </c>
      <c r="R48" s="82">
        <f t="shared" si="53"/>
        <v>29.557439999999996</v>
      </c>
      <c r="S48" s="83">
        <f t="shared" si="53"/>
        <v>5.8967999999999989</v>
      </c>
      <c r="T48" s="81">
        <f t="shared" si="54"/>
        <v>110.4</v>
      </c>
      <c r="U48" s="82">
        <f t="shared" si="54"/>
        <v>99.949680000000015</v>
      </c>
      <c r="V48" s="82">
        <f t="shared" si="54"/>
        <v>89.49936000000001</v>
      </c>
      <c r="W48" s="82">
        <f t="shared" si="54"/>
        <v>68.59872</v>
      </c>
      <c r="X48" s="82">
        <f t="shared" si="54"/>
        <v>47.698080000000004</v>
      </c>
      <c r="Y48" s="82">
        <f t="shared" si="54"/>
        <v>26.797439999999995</v>
      </c>
      <c r="Z48" s="83">
        <f t="shared" si="54"/>
        <v>5.8967999999999989</v>
      </c>
      <c r="AA48" s="81">
        <f t="shared" si="55"/>
        <v>96.6</v>
      </c>
      <c r="AB48" s="82">
        <f t="shared" si="55"/>
        <v>87.529679999999999</v>
      </c>
      <c r="AC48" s="82">
        <f t="shared" si="55"/>
        <v>78.459360000000004</v>
      </c>
      <c r="AD48" s="82">
        <f t="shared" si="55"/>
        <v>60.318719999999992</v>
      </c>
      <c r="AE48" s="82">
        <f t="shared" si="55"/>
        <v>42.178080000000001</v>
      </c>
      <c r="AF48" s="82">
        <f t="shared" si="55"/>
        <v>24.037439999999993</v>
      </c>
      <c r="AG48" s="83">
        <f t="shared" si="55"/>
        <v>5.8967999999999989</v>
      </c>
      <c r="AJ48" s="96">
        <f t="shared" si="70"/>
        <v>0</v>
      </c>
      <c r="AK48" s="97">
        <f t="shared" si="28"/>
        <v>9.5726956521739098E-2</v>
      </c>
      <c r="AL48" s="97">
        <f t="shared" si="29"/>
        <v>0.1914539130434782</v>
      </c>
      <c r="AM48" s="97">
        <f t="shared" si="30"/>
        <v>0.3829078260869565</v>
      </c>
      <c r="AN48" s="97">
        <f t="shared" si="31"/>
        <v>0.57436173913043476</v>
      </c>
      <c r="AO48" s="97">
        <f t="shared" si="32"/>
        <v>0.76581565217391312</v>
      </c>
      <c r="AP48" s="98">
        <f t="shared" si="33"/>
        <v>0.95726956521739137</v>
      </c>
      <c r="AQ48" s="96">
        <f t="shared" si="34"/>
        <v>9.9999999999999978E-2</v>
      </c>
      <c r="AR48" s="97">
        <f t="shared" si="35"/>
        <v>0.18572695652173912</v>
      </c>
      <c r="AS48" s="97">
        <f t="shared" si="36"/>
        <v>0.27145391304347816</v>
      </c>
      <c r="AT48" s="97">
        <f t="shared" si="37"/>
        <v>0.4429078260869565</v>
      </c>
      <c r="AU48" s="97">
        <f t="shared" si="38"/>
        <v>0.61436173913043468</v>
      </c>
      <c r="AV48" s="97">
        <f t="shared" si="39"/>
        <v>0.78581565217391303</v>
      </c>
      <c r="AW48" s="98">
        <f t="shared" si="26"/>
        <v>0.95726956521739137</v>
      </c>
      <c r="AX48" s="96">
        <f t="shared" si="26"/>
        <v>0.19999999999999996</v>
      </c>
      <c r="AY48" s="97">
        <f t="shared" si="26"/>
        <v>0.27572695652173901</v>
      </c>
      <c r="AZ48" s="97">
        <f t="shared" si="72"/>
        <v>0.35145391304347817</v>
      </c>
      <c r="BA48" s="97">
        <f t="shared" si="73"/>
        <v>0.5029078260869565</v>
      </c>
      <c r="BB48" s="97">
        <f t="shared" si="74"/>
        <v>0.65436173913043472</v>
      </c>
      <c r="BC48" s="97">
        <f t="shared" si="75"/>
        <v>0.80581565217391304</v>
      </c>
      <c r="BD48" s="98">
        <f t="shared" si="76"/>
        <v>0.95726956521739137</v>
      </c>
      <c r="BE48" s="96">
        <f t="shared" si="77"/>
        <v>0.30000000000000004</v>
      </c>
      <c r="BF48" s="97">
        <f t="shared" si="78"/>
        <v>0.36572695652173914</v>
      </c>
      <c r="BG48" s="97">
        <f t="shared" si="79"/>
        <v>0.43145391304347824</v>
      </c>
      <c r="BH48" s="97">
        <f t="shared" si="80"/>
        <v>0.56290782608695666</v>
      </c>
      <c r="BI48" s="97">
        <f t="shared" si="81"/>
        <v>0.69436173913043486</v>
      </c>
      <c r="BJ48" s="97">
        <f t="shared" si="82"/>
        <v>0.82581565217391317</v>
      </c>
      <c r="BK48" s="98">
        <f t="shared" si="83"/>
        <v>0.95726956521739137</v>
      </c>
      <c r="BN48" s="94"/>
      <c r="BO48" s="94"/>
      <c r="BP48" s="94"/>
      <c r="BQ48" s="94"/>
      <c r="BR48" s="94"/>
      <c r="BS48" s="94"/>
      <c r="BT48" s="94"/>
      <c r="BU48" s="94"/>
      <c r="BV48" s="94"/>
      <c r="BW48" s="94"/>
      <c r="BX48" s="94"/>
      <c r="BY48" s="94"/>
      <c r="BZ48" s="94"/>
      <c r="CA48" s="94"/>
      <c r="CB48" s="94"/>
      <c r="CC48" s="94"/>
      <c r="CD48" s="94"/>
      <c r="CE48" s="94"/>
      <c r="CF48" s="94"/>
      <c r="CG48" s="94"/>
      <c r="CH48" s="94"/>
      <c r="CI48" s="94"/>
      <c r="CJ48" s="94"/>
      <c r="CK48" s="94"/>
      <c r="CL48" s="94"/>
      <c r="CM48" s="94"/>
      <c r="CN48" s="94"/>
      <c r="CO48" s="94"/>
    </row>
    <row r="49" spans="1:93">
      <c r="A49" s="220">
        <v>1</v>
      </c>
      <c r="B49" s="74">
        <f>IF('Configuration Settings'!H39&gt;0,'Configuration Settings'!H39,'Configuration Settings'!J39)</f>
        <v>10</v>
      </c>
      <c r="C49" s="119">
        <v>0</v>
      </c>
      <c r="D49" s="73">
        <f t="shared" si="5"/>
        <v>0.189</v>
      </c>
      <c r="E49" s="74">
        <f>B$49*D49</f>
        <v>1.8900000000000001</v>
      </c>
      <c r="F49" s="75">
        <f>$F$5*(1-F$7)+$E49*(F$7)</f>
        <v>138</v>
      </c>
      <c r="G49" s="76">
        <f t="shared" si="71"/>
        <v>124.389</v>
      </c>
      <c r="H49" s="76">
        <f t="shared" si="71"/>
        <v>110.77800000000001</v>
      </c>
      <c r="I49" s="76">
        <f t="shared" si="71"/>
        <v>83.555999999999997</v>
      </c>
      <c r="J49" s="76">
        <f t="shared" si="71"/>
        <v>56.334000000000003</v>
      </c>
      <c r="K49" s="76">
        <f t="shared" si="71"/>
        <v>29.111999999999995</v>
      </c>
      <c r="L49" s="77">
        <f t="shared" si="71"/>
        <v>1.8900000000000001</v>
      </c>
      <c r="M49" s="75">
        <f t="shared" si="53"/>
        <v>124.2</v>
      </c>
      <c r="N49" s="76">
        <f t="shared" si="53"/>
        <v>111.96899999999999</v>
      </c>
      <c r="O49" s="76">
        <f t="shared" si="53"/>
        <v>99.738000000000014</v>
      </c>
      <c r="P49" s="76">
        <f t="shared" si="53"/>
        <v>75.275999999999996</v>
      </c>
      <c r="Q49" s="76">
        <f t="shared" si="53"/>
        <v>50.814000000000007</v>
      </c>
      <c r="R49" s="76">
        <f t="shared" si="53"/>
        <v>26.351999999999997</v>
      </c>
      <c r="S49" s="77">
        <f t="shared" si="53"/>
        <v>1.8900000000000001</v>
      </c>
      <c r="T49" s="75">
        <f t="shared" si="54"/>
        <v>110.4</v>
      </c>
      <c r="U49" s="76">
        <f t="shared" si="54"/>
        <v>99.549000000000007</v>
      </c>
      <c r="V49" s="76">
        <f t="shared" si="54"/>
        <v>88.698000000000008</v>
      </c>
      <c r="W49" s="76">
        <f t="shared" si="54"/>
        <v>66.995999999999995</v>
      </c>
      <c r="X49" s="76">
        <f t="shared" si="54"/>
        <v>45.294000000000004</v>
      </c>
      <c r="Y49" s="76">
        <f t="shared" si="54"/>
        <v>23.591999999999995</v>
      </c>
      <c r="Z49" s="77">
        <f t="shared" si="54"/>
        <v>1.8900000000000001</v>
      </c>
      <c r="AA49" s="75">
        <f t="shared" si="55"/>
        <v>96.6</v>
      </c>
      <c r="AB49" s="76">
        <f t="shared" si="55"/>
        <v>87.128999999999991</v>
      </c>
      <c r="AC49" s="76">
        <f t="shared" si="55"/>
        <v>77.658000000000001</v>
      </c>
      <c r="AD49" s="76">
        <f t="shared" si="55"/>
        <v>58.715999999999994</v>
      </c>
      <c r="AE49" s="76">
        <f t="shared" si="55"/>
        <v>39.774000000000001</v>
      </c>
      <c r="AF49" s="76">
        <f t="shared" si="55"/>
        <v>20.831999999999994</v>
      </c>
      <c r="AG49" s="77">
        <f t="shared" si="55"/>
        <v>1.8900000000000001</v>
      </c>
      <c r="AJ49" s="90">
        <f>(($F$9-F49)/$F$9)</f>
        <v>0</v>
      </c>
      <c r="AK49" s="91">
        <f t="shared" si="28"/>
        <v>9.8630434782608731E-2</v>
      </c>
      <c r="AL49" s="91">
        <f t="shared" si="29"/>
        <v>0.19726086956521735</v>
      </c>
      <c r="AM49" s="91">
        <f t="shared" si="30"/>
        <v>0.39452173913043481</v>
      </c>
      <c r="AN49" s="91">
        <f t="shared" si="31"/>
        <v>0.59178260869565213</v>
      </c>
      <c r="AO49" s="91">
        <f t="shared" si="32"/>
        <v>0.78904347826086962</v>
      </c>
      <c r="AP49" s="92">
        <f t="shared" si="33"/>
        <v>0.986304347826087</v>
      </c>
      <c r="AQ49" s="90">
        <f t="shared" si="34"/>
        <v>9.9999999999999978E-2</v>
      </c>
      <c r="AR49" s="91">
        <f t="shared" si="35"/>
        <v>0.18863043478260874</v>
      </c>
      <c r="AS49" s="91">
        <f t="shared" si="36"/>
        <v>0.27726086956521728</v>
      </c>
      <c r="AT49" s="91">
        <f t="shared" si="37"/>
        <v>0.45452173913043481</v>
      </c>
      <c r="AU49" s="91">
        <f t="shared" si="38"/>
        <v>0.63178260869565217</v>
      </c>
      <c r="AV49" s="91">
        <f t="shared" si="39"/>
        <v>0.80904347826086953</v>
      </c>
      <c r="AW49" s="92">
        <f t="shared" si="26"/>
        <v>0.986304347826087</v>
      </c>
      <c r="AX49" s="90">
        <f t="shared" si="26"/>
        <v>0.19999999999999996</v>
      </c>
      <c r="AY49" s="91">
        <f t="shared" si="26"/>
        <v>0.27863043478260863</v>
      </c>
      <c r="AZ49" s="91">
        <f t="shared" si="26"/>
        <v>0.35726086956521735</v>
      </c>
      <c r="BA49" s="91">
        <f t="shared" si="26"/>
        <v>0.51452173913043486</v>
      </c>
      <c r="BB49" s="91">
        <f t="shared" si="26"/>
        <v>0.67178260869565209</v>
      </c>
      <c r="BC49" s="91">
        <f t="shared" si="26"/>
        <v>0.82904347826086955</v>
      </c>
      <c r="BD49" s="92">
        <f t="shared" si="26"/>
        <v>0.986304347826087</v>
      </c>
      <c r="BE49" s="90">
        <f t="shared" si="26"/>
        <v>0.30000000000000004</v>
      </c>
      <c r="BF49" s="91">
        <f t="shared" si="26"/>
        <v>0.36863043478260876</v>
      </c>
      <c r="BG49" s="91">
        <f t="shared" si="26"/>
        <v>0.43726086956521737</v>
      </c>
      <c r="BH49" s="91">
        <f t="shared" si="26"/>
        <v>0.57452173913043481</v>
      </c>
      <c r="BI49" s="91">
        <f t="shared" si="26"/>
        <v>0.71178260869565213</v>
      </c>
      <c r="BJ49" s="91">
        <f t="shared" si="26"/>
        <v>0.84904347826086957</v>
      </c>
      <c r="BK49" s="92">
        <f t="shared" si="26"/>
        <v>0.986304347826087</v>
      </c>
      <c r="BN49" s="94"/>
      <c r="BO49" s="94"/>
      <c r="BP49" s="94"/>
      <c r="BQ49" s="94"/>
      <c r="BR49" s="94"/>
      <c r="BS49" s="94"/>
      <c r="BT49" s="94"/>
      <c r="BU49" s="94"/>
      <c r="BV49" s="94"/>
      <c r="BW49" s="94"/>
      <c r="BX49" s="94"/>
      <c r="BY49" s="94"/>
      <c r="BZ49" s="94"/>
      <c r="CA49" s="94"/>
      <c r="CB49" s="94"/>
      <c r="CC49" s="94"/>
      <c r="CD49" s="94"/>
      <c r="CE49" s="94"/>
      <c r="CF49" s="94"/>
      <c r="CG49" s="94"/>
      <c r="CH49" s="94"/>
      <c r="CI49" s="94"/>
      <c r="CJ49" s="94"/>
      <c r="CK49" s="94"/>
      <c r="CL49" s="94"/>
      <c r="CM49" s="94"/>
      <c r="CN49" s="94"/>
      <c r="CO49" s="94"/>
    </row>
    <row r="50" spans="1:93">
      <c r="A50" s="221">
        <v>1</v>
      </c>
      <c r="B50" s="72"/>
      <c r="C50" s="120">
        <v>0.2</v>
      </c>
      <c r="D50" s="73">
        <f t="shared" si="5"/>
        <v>0.1512</v>
      </c>
      <c r="E50" s="74">
        <f>B$49*D50</f>
        <v>1.512</v>
      </c>
      <c r="F50" s="78">
        <f>$F$5*(1-F$7)+$E50*(F$7)</f>
        <v>138</v>
      </c>
      <c r="G50" s="79">
        <f>$F$5*(1-G$7)+$E50*(G$7)</f>
        <v>124.35120000000001</v>
      </c>
      <c r="H50" s="79">
        <f t="shared" si="71"/>
        <v>110.70240000000001</v>
      </c>
      <c r="I50" s="79">
        <f t="shared" si="71"/>
        <v>83.404799999999994</v>
      </c>
      <c r="J50" s="79">
        <f t="shared" si="71"/>
        <v>56.107200000000006</v>
      </c>
      <c r="K50" s="79">
        <f t="shared" si="71"/>
        <v>28.809599999999996</v>
      </c>
      <c r="L50" s="80">
        <f t="shared" si="71"/>
        <v>1.512</v>
      </c>
      <c r="M50" s="78">
        <f t="shared" si="53"/>
        <v>124.2</v>
      </c>
      <c r="N50" s="79">
        <f t="shared" si="53"/>
        <v>111.9312</v>
      </c>
      <c r="O50" s="79">
        <f t="shared" si="53"/>
        <v>99.662400000000019</v>
      </c>
      <c r="P50" s="79">
        <f t="shared" si="53"/>
        <v>75.124799999999993</v>
      </c>
      <c r="Q50" s="79">
        <f t="shared" si="53"/>
        <v>50.58720000000001</v>
      </c>
      <c r="R50" s="79">
        <f t="shared" si="53"/>
        <v>26.049599999999998</v>
      </c>
      <c r="S50" s="80">
        <f t="shared" si="53"/>
        <v>1.512</v>
      </c>
      <c r="T50" s="78">
        <f t="shared" si="54"/>
        <v>110.4</v>
      </c>
      <c r="U50" s="79">
        <f t="shared" si="54"/>
        <v>99.511200000000017</v>
      </c>
      <c r="V50" s="79">
        <f t="shared" si="54"/>
        <v>88.622400000000013</v>
      </c>
      <c r="W50" s="79">
        <f t="shared" si="54"/>
        <v>66.844799999999992</v>
      </c>
      <c r="X50" s="79">
        <f t="shared" si="54"/>
        <v>45.067200000000007</v>
      </c>
      <c r="Y50" s="79">
        <f t="shared" si="54"/>
        <v>23.289599999999993</v>
      </c>
      <c r="Z50" s="80">
        <f t="shared" si="54"/>
        <v>1.512</v>
      </c>
      <c r="AA50" s="78">
        <f t="shared" si="55"/>
        <v>96.6</v>
      </c>
      <c r="AB50" s="79">
        <f t="shared" si="55"/>
        <v>87.091200000000001</v>
      </c>
      <c r="AC50" s="79">
        <f t="shared" si="55"/>
        <v>77.582400000000007</v>
      </c>
      <c r="AD50" s="79">
        <f t="shared" si="55"/>
        <v>58.564799999999991</v>
      </c>
      <c r="AE50" s="79">
        <f t="shared" si="55"/>
        <v>39.547200000000004</v>
      </c>
      <c r="AF50" s="79">
        <f t="shared" si="55"/>
        <v>20.529599999999995</v>
      </c>
      <c r="AG50" s="80">
        <f t="shared" si="55"/>
        <v>1.512</v>
      </c>
      <c r="AJ50" s="93">
        <f t="shared" ref="AJ50:AJ52" si="84">(($F$9-F50)/$F$9)</f>
        <v>0</v>
      </c>
      <c r="AK50" s="94">
        <f t="shared" si="28"/>
        <v>9.8904347826086911E-2</v>
      </c>
      <c r="AL50" s="94">
        <f t="shared" si="29"/>
        <v>0.19780869565217382</v>
      </c>
      <c r="AM50" s="94">
        <f t="shared" si="30"/>
        <v>0.39561739130434787</v>
      </c>
      <c r="AN50" s="94">
        <f t="shared" si="31"/>
        <v>0.59342608695652166</v>
      </c>
      <c r="AO50" s="94">
        <f t="shared" si="32"/>
        <v>0.79123478260869573</v>
      </c>
      <c r="AP50" s="95">
        <f t="shared" si="33"/>
        <v>0.98904347826086958</v>
      </c>
      <c r="AQ50" s="93">
        <f t="shared" si="34"/>
        <v>9.9999999999999978E-2</v>
      </c>
      <c r="AR50" s="94">
        <f t="shared" si="35"/>
        <v>0.18890434782608692</v>
      </c>
      <c r="AS50" s="94">
        <f t="shared" si="36"/>
        <v>0.27780869565217375</v>
      </c>
      <c r="AT50" s="94">
        <f t="shared" si="37"/>
        <v>0.45561739130434786</v>
      </c>
      <c r="AU50" s="94">
        <f t="shared" si="38"/>
        <v>0.63342608695652169</v>
      </c>
      <c r="AV50" s="94">
        <f t="shared" si="39"/>
        <v>0.81123478260869564</v>
      </c>
      <c r="AW50" s="95">
        <f t="shared" si="26"/>
        <v>0.98904347826086958</v>
      </c>
      <c r="AX50" s="93">
        <f t="shared" si="26"/>
        <v>0.19999999999999996</v>
      </c>
      <c r="AY50" s="94">
        <f t="shared" si="26"/>
        <v>0.27890434782608686</v>
      </c>
      <c r="AZ50" s="94">
        <f t="shared" si="26"/>
        <v>0.35780869565217382</v>
      </c>
      <c r="BA50" s="94">
        <f t="shared" si="26"/>
        <v>0.51561739130434792</v>
      </c>
      <c r="BB50" s="94">
        <f t="shared" si="26"/>
        <v>0.67342608695652162</v>
      </c>
      <c r="BC50" s="94">
        <f t="shared" si="26"/>
        <v>0.83123478260869565</v>
      </c>
      <c r="BD50" s="95">
        <f t="shared" si="26"/>
        <v>0.98904347826086958</v>
      </c>
      <c r="BE50" s="93">
        <f t="shared" si="26"/>
        <v>0.30000000000000004</v>
      </c>
      <c r="BF50" s="94">
        <f t="shared" si="26"/>
        <v>0.36890434782608694</v>
      </c>
      <c r="BG50" s="94">
        <f t="shared" si="26"/>
        <v>0.43780869565217384</v>
      </c>
      <c r="BH50" s="94">
        <f t="shared" si="26"/>
        <v>0.57561739130434786</v>
      </c>
      <c r="BI50" s="94">
        <f t="shared" si="26"/>
        <v>0.71342608695652177</v>
      </c>
      <c r="BJ50" s="94">
        <f t="shared" si="26"/>
        <v>0.85123478260869578</v>
      </c>
      <c r="BK50" s="95">
        <f t="shared" si="26"/>
        <v>0.98904347826086958</v>
      </c>
      <c r="BN50" s="94"/>
      <c r="BO50" s="94"/>
      <c r="BP50" s="94"/>
      <c r="BQ50" s="94"/>
      <c r="BR50" s="94"/>
      <c r="BS50" s="94"/>
      <c r="BT50" s="94"/>
      <c r="BU50" s="94"/>
      <c r="BV50" s="94"/>
      <c r="BW50" s="94"/>
      <c r="BX50" s="94"/>
      <c r="BY50" s="94"/>
      <c r="BZ50" s="94"/>
      <c r="CA50" s="94"/>
      <c r="CB50" s="94"/>
      <c r="CC50" s="94"/>
      <c r="CD50" s="94"/>
      <c r="CE50" s="94"/>
      <c r="CF50" s="94"/>
      <c r="CG50" s="94"/>
      <c r="CH50" s="94"/>
      <c r="CI50" s="94"/>
      <c r="CJ50" s="94"/>
      <c r="CK50" s="94"/>
      <c r="CL50" s="94"/>
      <c r="CM50" s="94"/>
      <c r="CN50" s="94"/>
      <c r="CO50" s="94"/>
    </row>
    <row r="51" spans="1:93">
      <c r="A51" s="221">
        <v>1</v>
      </c>
      <c r="B51" s="72"/>
      <c r="C51" s="120">
        <v>0.4</v>
      </c>
      <c r="D51" s="73">
        <f t="shared" si="5"/>
        <v>0.1134</v>
      </c>
      <c r="E51" s="74">
        <f>B$49*D51</f>
        <v>1.1339999999999999</v>
      </c>
      <c r="F51" s="78">
        <f t="shared" ref="F51:G52" si="85">$F$5*(1-F$7)+$E51*(F$7)</f>
        <v>138</v>
      </c>
      <c r="G51" s="79">
        <f t="shared" si="85"/>
        <v>124.3134</v>
      </c>
      <c r="H51" s="79">
        <f t="shared" si="71"/>
        <v>110.6268</v>
      </c>
      <c r="I51" s="79">
        <f t="shared" si="71"/>
        <v>83.253599999999992</v>
      </c>
      <c r="J51" s="79">
        <f t="shared" si="71"/>
        <v>55.880400000000002</v>
      </c>
      <c r="K51" s="79">
        <f t="shared" si="71"/>
        <v>28.507199999999994</v>
      </c>
      <c r="L51" s="80">
        <f t="shared" si="71"/>
        <v>1.1339999999999999</v>
      </c>
      <c r="M51" s="78">
        <f t="shared" si="53"/>
        <v>124.2</v>
      </c>
      <c r="N51" s="79">
        <f t="shared" si="53"/>
        <v>111.8934</v>
      </c>
      <c r="O51" s="79">
        <f t="shared" si="53"/>
        <v>99.586800000000011</v>
      </c>
      <c r="P51" s="79">
        <f t="shared" si="53"/>
        <v>74.97359999999999</v>
      </c>
      <c r="Q51" s="79">
        <f t="shared" si="53"/>
        <v>50.360400000000006</v>
      </c>
      <c r="R51" s="79">
        <f t="shared" si="53"/>
        <v>25.747199999999996</v>
      </c>
      <c r="S51" s="80">
        <f t="shared" si="53"/>
        <v>1.1339999999999999</v>
      </c>
      <c r="T51" s="78">
        <f t="shared" si="54"/>
        <v>110.4</v>
      </c>
      <c r="U51" s="79">
        <f t="shared" si="54"/>
        <v>99.473400000000012</v>
      </c>
      <c r="V51" s="79">
        <f t="shared" si="54"/>
        <v>88.546800000000005</v>
      </c>
      <c r="W51" s="79">
        <f t="shared" si="54"/>
        <v>66.693599999999989</v>
      </c>
      <c r="X51" s="79">
        <f t="shared" si="54"/>
        <v>44.840400000000002</v>
      </c>
      <c r="Y51" s="79">
        <f t="shared" si="54"/>
        <v>22.987199999999994</v>
      </c>
      <c r="Z51" s="80">
        <f t="shared" si="54"/>
        <v>1.1339999999999999</v>
      </c>
      <c r="AA51" s="78">
        <f t="shared" si="55"/>
        <v>96.6</v>
      </c>
      <c r="AB51" s="79">
        <f t="shared" si="55"/>
        <v>87.053399999999996</v>
      </c>
      <c r="AC51" s="79">
        <f t="shared" si="55"/>
        <v>77.506799999999998</v>
      </c>
      <c r="AD51" s="79">
        <f t="shared" si="55"/>
        <v>58.413599999999995</v>
      </c>
      <c r="AE51" s="79">
        <f t="shared" si="55"/>
        <v>39.320399999999999</v>
      </c>
      <c r="AF51" s="79">
        <f t="shared" si="55"/>
        <v>20.227199999999993</v>
      </c>
      <c r="AG51" s="80">
        <f t="shared" si="55"/>
        <v>1.1339999999999999</v>
      </c>
      <c r="AJ51" s="93">
        <f t="shared" si="84"/>
        <v>0</v>
      </c>
      <c r="AK51" s="94">
        <f t="shared" si="28"/>
        <v>9.9178260869565202E-2</v>
      </c>
      <c r="AL51" s="94">
        <f t="shared" si="29"/>
        <v>0.1983565217391304</v>
      </c>
      <c r="AM51" s="94">
        <f t="shared" si="30"/>
        <v>0.39671304347826092</v>
      </c>
      <c r="AN51" s="94">
        <f t="shared" si="31"/>
        <v>0.59506956521739129</v>
      </c>
      <c r="AO51" s="94">
        <f t="shared" si="32"/>
        <v>0.79342608695652173</v>
      </c>
      <c r="AP51" s="95">
        <f t="shared" si="33"/>
        <v>0.99178260869565227</v>
      </c>
      <c r="AQ51" s="93">
        <f t="shared" si="34"/>
        <v>9.9999999999999978E-2</v>
      </c>
      <c r="AR51" s="94">
        <f t="shared" si="35"/>
        <v>0.18917826086956521</v>
      </c>
      <c r="AS51" s="94">
        <f t="shared" si="36"/>
        <v>0.27835652173913034</v>
      </c>
      <c r="AT51" s="94">
        <f t="shared" si="37"/>
        <v>0.45671304347826092</v>
      </c>
      <c r="AU51" s="94">
        <f t="shared" si="38"/>
        <v>0.63506956521739133</v>
      </c>
      <c r="AV51" s="94">
        <f t="shared" si="39"/>
        <v>0.81342608695652174</v>
      </c>
      <c r="AW51" s="95">
        <f t="shared" si="26"/>
        <v>0.99178260869565227</v>
      </c>
      <c r="AX51" s="93">
        <f t="shared" si="26"/>
        <v>0.19999999999999996</v>
      </c>
      <c r="AY51" s="94">
        <f t="shared" si="26"/>
        <v>0.27917826086956515</v>
      </c>
      <c r="AZ51" s="94">
        <f t="shared" ref="AZ51:AZ52" si="86">(($F$9-V51)/$F$9)</f>
        <v>0.35835652173913041</v>
      </c>
      <c r="BA51" s="94">
        <f t="shared" ref="BA51:BA52" si="87">(($F$9-W51)/$F$9)</f>
        <v>0.51671304347826097</v>
      </c>
      <c r="BB51" s="94">
        <f t="shared" ref="BB51:BB52" si="88">(($F$9-X51)/$F$9)</f>
        <v>0.67506956521739125</v>
      </c>
      <c r="BC51" s="94">
        <f t="shared" ref="BC51:BC52" si="89">(($F$9-Y51)/$F$9)</f>
        <v>0.83342608695652176</v>
      </c>
      <c r="BD51" s="95">
        <f t="shared" ref="BD51:BD52" si="90">(($F$9-Z51)/$F$9)</f>
        <v>0.99178260869565227</v>
      </c>
      <c r="BE51" s="93">
        <f t="shared" ref="BE51:BE52" si="91">(($F$9-AA51)/$F$9)</f>
        <v>0.30000000000000004</v>
      </c>
      <c r="BF51" s="94">
        <f t="shared" ref="BF51:BF52" si="92">(($F$9-AB51)/$F$9)</f>
        <v>0.36917826086956523</v>
      </c>
      <c r="BG51" s="94">
        <f t="shared" ref="BG51:BG52" si="93">(($F$9-AC51)/$F$9)</f>
        <v>0.43835652173913042</v>
      </c>
      <c r="BH51" s="94">
        <f t="shared" ref="BH51:BH52" si="94">(($F$9-AD51)/$F$9)</f>
        <v>0.5767130434782608</v>
      </c>
      <c r="BI51" s="94">
        <f t="shared" ref="BI51:BI52" si="95">(($F$9-AE51)/$F$9)</f>
        <v>0.71506956521739129</v>
      </c>
      <c r="BJ51" s="94">
        <f t="shared" ref="BJ51:BJ52" si="96">(($F$9-AF51)/$F$9)</f>
        <v>0.85342608695652178</v>
      </c>
      <c r="BK51" s="95">
        <f t="shared" ref="BK51:BK52" si="97">(($F$9-AG51)/$F$9)</f>
        <v>0.99178260869565227</v>
      </c>
      <c r="BN51" s="94"/>
      <c r="BO51" s="94"/>
      <c r="BP51" s="94"/>
      <c r="BQ51" s="94"/>
      <c r="BR51" s="94"/>
      <c r="BS51" s="94"/>
      <c r="BT51" s="94"/>
      <c r="BU51" s="94"/>
      <c r="BV51" s="94"/>
      <c r="BW51" s="94"/>
      <c r="BX51" s="94"/>
      <c r="BY51" s="94"/>
      <c r="BZ51" s="94"/>
      <c r="CA51" s="94"/>
      <c r="CB51" s="94"/>
      <c r="CC51" s="94"/>
      <c r="CD51" s="94"/>
      <c r="CE51" s="94"/>
      <c r="CF51" s="94"/>
      <c r="CG51" s="94"/>
      <c r="CH51" s="94"/>
      <c r="CI51" s="94"/>
      <c r="CJ51" s="94"/>
      <c r="CK51" s="94"/>
      <c r="CL51" s="94"/>
      <c r="CM51" s="94"/>
      <c r="CN51" s="94"/>
      <c r="CO51" s="94"/>
    </row>
    <row r="52" spans="1:93" ht="15" thickBot="1">
      <c r="A52" s="222">
        <v>1</v>
      </c>
      <c r="B52" s="72"/>
      <c r="C52" s="121">
        <v>0.6</v>
      </c>
      <c r="D52" s="73">
        <f t="shared" si="5"/>
        <v>7.5600000000000001E-2</v>
      </c>
      <c r="E52" s="74">
        <f>B$49*D52</f>
        <v>0.75600000000000001</v>
      </c>
      <c r="F52" s="81">
        <f t="shared" si="85"/>
        <v>138</v>
      </c>
      <c r="G52" s="82">
        <f t="shared" si="85"/>
        <v>124.2756</v>
      </c>
      <c r="H52" s="82">
        <f t="shared" si="71"/>
        <v>110.55120000000001</v>
      </c>
      <c r="I52" s="82">
        <f t="shared" si="71"/>
        <v>83.102400000000003</v>
      </c>
      <c r="J52" s="82">
        <f t="shared" si="71"/>
        <v>55.653600000000004</v>
      </c>
      <c r="K52" s="82">
        <f t="shared" si="71"/>
        <v>28.204799999999995</v>
      </c>
      <c r="L52" s="83">
        <f t="shared" si="71"/>
        <v>0.75600000000000001</v>
      </c>
      <c r="M52" s="81">
        <f t="shared" si="53"/>
        <v>124.2</v>
      </c>
      <c r="N52" s="82">
        <f t="shared" si="53"/>
        <v>111.8556</v>
      </c>
      <c r="O52" s="82">
        <f t="shared" si="53"/>
        <v>99.511200000000017</v>
      </c>
      <c r="P52" s="82">
        <f t="shared" si="53"/>
        <v>74.822400000000002</v>
      </c>
      <c r="Q52" s="82">
        <f t="shared" si="53"/>
        <v>50.133600000000008</v>
      </c>
      <c r="R52" s="82">
        <f t="shared" si="53"/>
        <v>25.444799999999997</v>
      </c>
      <c r="S52" s="83">
        <f t="shared" si="53"/>
        <v>0.75600000000000001</v>
      </c>
      <c r="T52" s="81">
        <f t="shared" si="54"/>
        <v>110.4</v>
      </c>
      <c r="U52" s="82">
        <f t="shared" si="54"/>
        <v>99.435600000000008</v>
      </c>
      <c r="V52" s="82">
        <f t="shared" si="54"/>
        <v>88.47120000000001</v>
      </c>
      <c r="W52" s="82">
        <f t="shared" si="54"/>
        <v>66.542400000000001</v>
      </c>
      <c r="X52" s="82">
        <f t="shared" si="54"/>
        <v>44.613600000000005</v>
      </c>
      <c r="Y52" s="82">
        <f t="shared" si="54"/>
        <v>22.684799999999996</v>
      </c>
      <c r="Z52" s="83">
        <f t="shared" si="54"/>
        <v>0.75600000000000001</v>
      </c>
      <c r="AA52" s="81">
        <f t="shared" si="55"/>
        <v>96.6</v>
      </c>
      <c r="AB52" s="82">
        <f t="shared" si="55"/>
        <v>87.015599999999992</v>
      </c>
      <c r="AC52" s="82">
        <f t="shared" si="55"/>
        <v>77.431200000000004</v>
      </c>
      <c r="AD52" s="82">
        <f t="shared" si="55"/>
        <v>58.262399999999992</v>
      </c>
      <c r="AE52" s="82">
        <f t="shared" si="55"/>
        <v>39.093600000000002</v>
      </c>
      <c r="AF52" s="82">
        <f t="shared" si="55"/>
        <v>19.924799999999994</v>
      </c>
      <c r="AG52" s="83">
        <f t="shared" si="55"/>
        <v>0.75600000000000001</v>
      </c>
      <c r="AJ52" s="96">
        <f t="shared" si="84"/>
        <v>0</v>
      </c>
      <c r="AK52" s="97">
        <f t="shared" si="28"/>
        <v>9.9452173913043493E-2</v>
      </c>
      <c r="AL52" s="97">
        <f t="shared" si="29"/>
        <v>0.1989043478260869</v>
      </c>
      <c r="AM52" s="97">
        <f t="shared" si="30"/>
        <v>0.39780869565217392</v>
      </c>
      <c r="AN52" s="97">
        <f t="shared" si="31"/>
        <v>0.59671304347826082</v>
      </c>
      <c r="AO52" s="97">
        <f t="shared" si="32"/>
        <v>0.79561739130434783</v>
      </c>
      <c r="AP52" s="98">
        <f t="shared" si="33"/>
        <v>0.99452173913043473</v>
      </c>
      <c r="AQ52" s="96">
        <f t="shared" si="34"/>
        <v>9.9999999999999978E-2</v>
      </c>
      <c r="AR52" s="97">
        <f t="shared" si="35"/>
        <v>0.1894521739130435</v>
      </c>
      <c r="AS52" s="97">
        <f t="shared" si="36"/>
        <v>0.27890434782608686</v>
      </c>
      <c r="AT52" s="97">
        <f t="shared" si="37"/>
        <v>0.45780869565217391</v>
      </c>
      <c r="AU52" s="97">
        <f t="shared" si="38"/>
        <v>0.63671304347826085</v>
      </c>
      <c r="AV52" s="97">
        <f t="shared" si="39"/>
        <v>0.81561739130434785</v>
      </c>
      <c r="AW52" s="98">
        <f t="shared" si="26"/>
        <v>0.99452173913043473</v>
      </c>
      <c r="AX52" s="96">
        <f t="shared" si="26"/>
        <v>0.19999999999999996</v>
      </c>
      <c r="AY52" s="97">
        <f t="shared" si="26"/>
        <v>0.27945217391304344</v>
      </c>
      <c r="AZ52" s="97">
        <f t="shared" si="86"/>
        <v>0.35890434782608688</v>
      </c>
      <c r="BA52" s="97">
        <f t="shared" si="87"/>
        <v>0.51780869565217391</v>
      </c>
      <c r="BB52" s="97">
        <f t="shared" si="88"/>
        <v>0.67671304347826078</v>
      </c>
      <c r="BC52" s="97">
        <f t="shared" si="89"/>
        <v>0.83561739130434787</v>
      </c>
      <c r="BD52" s="98">
        <f t="shared" si="90"/>
        <v>0.99452173913043473</v>
      </c>
      <c r="BE52" s="96">
        <f t="shared" si="91"/>
        <v>0.30000000000000004</v>
      </c>
      <c r="BF52" s="97">
        <f t="shared" si="92"/>
        <v>0.36945217391304352</v>
      </c>
      <c r="BG52" s="97">
        <f t="shared" si="93"/>
        <v>0.43890434782608695</v>
      </c>
      <c r="BH52" s="97">
        <f t="shared" si="94"/>
        <v>0.57780869565217396</v>
      </c>
      <c r="BI52" s="97">
        <f t="shared" si="95"/>
        <v>0.71671304347826081</v>
      </c>
      <c r="BJ52" s="97">
        <f t="shared" si="96"/>
        <v>0.85561739130434789</v>
      </c>
      <c r="BK52" s="98">
        <f t="shared" si="97"/>
        <v>0.99452173913043473</v>
      </c>
      <c r="BN52" s="94"/>
      <c r="BO52" s="94"/>
      <c r="BP52" s="94"/>
      <c r="BQ52" s="94"/>
      <c r="BR52" s="94"/>
      <c r="BS52" s="94"/>
      <c r="BT52" s="94"/>
      <c r="BU52" s="94"/>
      <c r="BV52" s="94"/>
      <c r="BW52" s="94"/>
      <c r="BX52" s="94"/>
      <c r="BY52" s="94"/>
      <c r="BZ52" s="94"/>
      <c r="CA52" s="94"/>
      <c r="CB52" s="94"/>
      <c r="CC52" s="94"/>
      <c r="CD52" s="94"/>
      <c r="CE52" s="94"/>
      <c r="CF52" s="94"/>
      <c r="CG52" s="94"/>
      <c r="CH52" s="94"/>
      <c r="CI52" s="94"/>
      <c r="CJ52" s="94"/>
      <c r="CK52" s="94"/>
      <c r="CL52" s="94"/>
      <c r="CM52" s="94"/>
      <c r="CN52" s="94"/>
      <c r="CO52" s="94"/>
    </row>
    <row r="56" spans="1:93">
      <c r="A56" s="789" t="s">
        <v>419</v>
      </c>
      <c r="B56" s="789"/>
      <c r="C56" s="789"/>
      <c r="D56" s="789"/>
      <c r="E56" s="789"/>
      <c r="F56" s="789"/>
      <c r="G56" s="789"/>
      <c r="H56" s="789"/>
      <c r="I56" s="789"/>
      <c r="J56" s="789"/>
      <c r="K56" s="789"/>
      <c r="L56" s="789"/>
      <c r="M56" s="789"/>
      <c r="N56" s="789"/>
      <c r="O56" s="789"/>
      <c r="P56" s="789"/>
      <c r="Q56" s="789"/>
      <c r="R56" s="789"/>
      <c r="S56" s="789"/>
      <c r="T56" s="789"/>
      <c r="U56" s="789"/>
      <c r="V56" s="789"/>
      <c r="W56" s="789"/>
      <c r="X56" s="789"/>
      <c r="Y56" s="789"/>
      <c r="Z56" s="789"/>
      <c r="AA56" s="789"/>
      <c r="AB56" s="789"/>
      <c r="AC56" s="789"/>
      <c r="AD56" s="789"/>
      <c r="AE56" s="789"/>
      <c r="AF56" s="789"/>
      <c r="AG56" s="789"/>
    </row>
    <row r="57" spans="1:93">
      <c r="A57" s="789"/>
      <c r="B57" s="789"/>
      <c r="C57" s="789"/>
      <c r="D57" s="789"/>
      <c r="E57" s="789"/>
      <c r="F57" s="789"/>
      <c r="G57" s="789"/>
      <c r="H57" s="789"/>
      <c r="I57" s="789"/>
      <c r="J57" s="789"/>
      <c r="K57" s="789"/>
      <c r="L57" s="789"/>
      <c r="M57" s="789"/>
      <c r="N57" s="789"/>
      <c r="O57" s="789"/>
      <c r="P57" s="789"/>
      <c r="Q57" s="789"/>
      <c r="R57" s="789"/>
      <c r="S57" s="789"/>
      <c r="T57" s="789"/>
      <c r="U57" s="789"/>
      <c r="V57" s="789"/>
      <c r="W57" s="789"/>
      <c r="X57" s="789"/>
      <c r="Y57" s="789"/>
      <c r="Z57" s="789"/>
      <c r="AA57" s="789"/>
      <c r="AB57" s="789"/>
      <c r="AC57" s="789"/>
      <c r="AD57" s="789"/>
      <c r="AE57" s="789"/>
      <c r="AF57" s="789"/>
      <c r="AG57" s="789"/>
    </row>
    <row r="59" spans="1:93">
      <c r="A59" t="s">
        <v>74</v>
      </c>
      <c r="P59" s="3"/>
      <c r="Q59" s="3"/>
      <c r="R59" s="3"/>
      <c r="S59" s="3"/>
      <c r="T59" s="3"/>
      <c r="U59" s="3"/>
      <c r="AJ59" s="789" t="s">
        <v>82</v>
      </c>
      <c r="AK59" s="789"/>
      <c r="AL59" s="789"/>
      <c r="AM59" s="789"/>
      <c r="AN59" s="789"/>
      <c r="AO59" s="789"/>
      <c r="AP59" s="789"/>
      <c r="AQ59" s="789"/>
      <c r="AR59" s="789"/>
      <c r="AS59" s="789"/>
      <c r="AT59" s="789"/>
      <c r="AU59" s="789"/>
      <c r="AV59" s="789"/>
      <c r="AW59" s="789"/>
      <c r="AX59" s="789"/>
      <c r="AY59" s="789"/>
      <c r="AZ59" s="789"/>
      <c r="BA59" s="789"/>
      <c r="BB59" s="789"/>
      <c r="BC59" s="789"/>
      <c r="BD59" s="789"/>
      <c r="BE59" s="789"/>
      <c r="BF59" s="789"/>
      <c r="BG59" s="789"/>
      <c r="BH59" s="789"/>
      <c r="BI59" s="789"/>
      <c r="BJ59" s="789"/>
      <c r="BK59" s="789"/>
    </row>
    <row r="60" spans="1:93">
      <c r="A60" t="s">
        <v>70</v>
      </c>
      <c r="AJ60" s="789"/>
      <c r="AK60" s="789"/>
      <c r="AL60" s="789"/>
      <c r="AM60" s="789"/>
      <c r="AN60" s="789"/>
      <c r="AO60" s="789"/>
      <c r="AP60" s="789"/>
      <c r="AQ60" s="789"/>
      <c r="AR60" s="789"/>
      <c r="AS60" s="789"/>
      <c r="AT60" s="789"/>
      <c r="AU60" s="789"/>
      <c r="AV60" s="789"/>
      <c r="AW60" s="789"/>
      <c r="AX60" s="789"/>
      <c r="AY60" s="789"/>
      <c r="AZ60" s="789"/>
      <c r="BA60" s="789"/>
      <c r="BB60" s="789"/>
      <c r="BC60" s="789"/>
      <c r="BD60" s="789"/>
      <c r="BE60" s="789"/>
      <c r="BF60" s="789"/>
      <c r="BG60" s="789"/>
      <c r="BH60" s="789"/>
      <c r="BI60" s="789"/>
      <c r="BJ60" s="789"/>
      <c r="BK60" s="789"/>
    </row>
    <row r="61" spans="1:93">
      <c r="A61" s="71" t="s">
        <v>69</v>
      </c>
    </row>
    <row r="62" spans="1:93">
      <c r="P62" s="71"/>
    </row>
    <row r="63" spans="1:93">
      <c r="AJ63" s="71" t="s">
        <v>84</v>
      </c>
    </row>
    <row r="64" spans="1:93">
      <c r="AJ64" s="71" t="s">
        <v>88</v>
      </c>
    </row>
    <row r="65" spans="1:63">
      <c r="A65" s="789" t="s">
        <v>81</v>
      </c>
      <c r="B65" s="789"/>
      <c r="C65" s="789"/>
      <c r="D65" s="789"/>
      <c r="E65" s="789"/>
      <c r="F65" s="789"/>
      <c r="G65" s="789"/>
      <c r="H65" s="789"/>
      <c r="I65" s="789"/>
      <c r="J65" s="789"/>
      <c r="K65" s="789"/>
      <c r="L65" s="789"/>
      <c r="M65" s="789"/>
      <c r="N65" s="789"/>
      <c r="O65" s="789"/>
      <c r="P65" s="789"/>
      <c r="Q65" s="789"/>
      <c r="R65" s="789"/>
      <c r="S65" s="789"/>
      <c r="T65" s="789"/>
      <c r="U65" s="789"/>
      <c r="V65" s="789"/>
      <c r="W65" s="789"/>
      <c r="X65" s="789"/>
      <c r="Y65" s="789"/>
      <c r="Z65" s="789"/>
      <c r="AA65" s="789"/>
      <c r="AB65" s="789"/>
      <c r="AC65" s="789"/>
      <c r="AD65" s="789"/>
      <c r="AE65" s="789"/>
      <c r="AF65" s="789"/>
      <c r="AG65" s="789"/>
      <c r="AJ65" s="789"/>
      <c r="AK65" s="789"/>
      <c r="AL65" s="789"/>
      <c r="AM65" s="789"/>
      <c r="AN65" s="789"/>
      <c r="AO65" s="789"/>
      <c r="AP65" s="789"/>
      <c r="AQ65" s="789"/>
      <c r="AR65" s="789"/>
      <c r="AS65" s="789"/>
      <c r="AT65" s="789"/>
      <c r="AU65" s="789"/>
      <c r="AV65" s="789"/>
      <c r="AW65" s="789"/>
      <c r="AX65" s="789"/>
      <c r="AY65" s="789"/>
      <c r="AZ65" s="789"/>
      <c r="BA65" s="789"/>
      <c r="BB65" s="789"/>
      <c r="BC65" s="789"/>
      <c r="BD65" s="789"/>
      <c r="BE65" s="789"/>
      <c r="BF65" s="789"/>
      <c r="BG65" s="789"/>
      <c r="BH65" s="789"/>
      <c r="BI65" s="789"/>
      <c r="BJ65" s="789"/>
      <c r="BK65" s="789"/>
    </row>
    <row r="66" spans="1:63">
      <c r="A66" s="789"/>
      <c r="B66" s="789"/>
      <c r="C66" s="789"/>
      <c r="D66" s="789"/>
      <c r="E66" s="789"/>
      <c r="F66" s="789"/>
      <c r="G66" s="789"/>
      <c r="H66" s="789"/>
      <c r="I66" s="789"/>
      <c r="J66" s="789"/>
      <c r="K66" s="789"/>
      <c r="L66" s="789"/>
      <c r="M66" s="789"/>
      <c r="N66" s="789"/>
      <c r="O66" s="789"/>
      <c r="P66" s="789"/>
      <c r="Q66" s="789"/>
      <c r="R66" s="789"/>
      <c r="S66" s="789"/>
      <c r="T66" s="789"/>
      <c r="U66" s="789"/>
      <c r="V66" s="789"/>
      <c r="W66" s="789"/>
      <c r="X66" s="789"/>
      <c r="Y66" s="789"/>
      <c r="Z66" s="789"/>
      <c r="AA66" s="789"/>
      <c r="AB66" s="789"/>
      <c r="AC66" s="789"/>
      <c r="AD66" s="789"/>
      <c r="AE66" s="789"/>
      <c r="AF66" s="789"/>
      <c r="AG66" s="789"/>
      <c r="AJ66" s="789"/>
      <c r="AK66" s="789"/>
      <c r="AL66" s="789"/>
      <c r="AM66" s="789"/>
      <c r="AN66" s="789"/>
      <c r="AO66" s="789"/>
      <c r="AP66" s="789"/>
      <c r="AQ66" s="789"/>
      <c r="AR66" s="789"/>
      <c r="AS66" s="789"/>
      <c r="AT66" s="789"/>
      <c r="AU66" s="789"/>
      <c r="AV66" s="789"/>
      <c r="AW66" s="789"/>
      <c r="AX66" s="789"/>
      <c r="AY66" s="789"/>
      <c r="AZ66" s="789"/>
      <c r="BA66" s="789"/>
      <c r="BB66" s="789"/>
      <c r="BC66" s="789"/>
      <c r="BD66" s="789"/>
      <c r="BE66" s="789"/>
      <c r="BF66" s="789"/>
      <c r="BG66" s="789"/>
      <c r="BH66" s="789"/>
      <c r="BI66" s="789"/>
      <c r="BJ66" s="789"/>
      <c r="BK66" s="789"/>
    </row>
    <row r="67" spans="1:63">
      <c r="AJ67" s="633" t="s">
        <v>86</v>
      </c>
      <c r="AK67" s="633"/>
      <c r="AL67" s="633"/>
      <c r="AM67" s="633"/>
      <c r="AN67" s="633"/>
      <c r="AO67" s="633"/>
      <c r="AP67" s="633"/>
      <c r="AQ67" s="633"/>
      <c r="AR67" s="633"/>
      <c r="AS67" s="633"/>
      <c r="AT67" s="633"/>
      <c r="AU67" s="633"/>
      <c r="AV67" s="633"/>
      <c r="AW67" s="633"/>
      <c r="AX67" s="633"/>
      <c r="AY67" s="633"/>
      <c r="AZ67" s="633"/>
      <c r="BA67" s="633"/>
      <c r="BB67" s="633"/>
      <c r="BC67" s="633"/>
      <c r="BD67" s="633"/>
      <c r="BE67" s="633"/>
      <c r="BF67" s="633"/>
      <c r="BG67" s="633"/>
      <c r="BH67" s="633"/>
      <c r="BI67" s="633"/>
      <c r="BJ67" s="633"/>
      <c r="BK67" s="633"/>
    </row>
    <row r="68" spans="1:63">
      <c r="AJ68" s="633"/>
      <c r="AK68" s="633"/>
      <c r="AL68" s="633"/>
      <c r="AM68" s="633"/>
      <c r="AN68" s="633"/>
      <c r="AO68" s="633"/>
      <c r="AP68" s="633"/>
      <c r="AQ68" s="633"/>
      <c r="AR68" s="633"/>
      <c r="AS68" s="633"/>
      <c r="AT68" s="633"/>
      <c r="AU68" s="633"/>
      <c r="AV68" s="633"/>
      <c r="AW68" s="633"/>
      <c r="AX68" s="633"/>
      <c r="AY68" s="633"/>
      <c r="AZ68" s="633"/>
      <c r="BA68" s="633"/>
      <c r="BB68" s="633"/>
      <c r="BC68" s="633"/>
      <c r="BD68" s="633"/>
      <c r="BE68" s="633"/>
      <c r="BF68" s="633"/>
      <c r="BG68" s="633"/>
      <c r="BH68" s="633"/>
      <c r="BI68" s="633"/>
      <c r="BJ68" s="633"/>
      <c r="BK68" s="633"/>
    </row>
    <row r="69" spans="1:63">
      <c r="AJ69" s="71" t="s">
        <v>87</v>
      </c>
    </row>
  </sheetData>
  <mergeCells count="39">
    <mergeCell ref="A4:A8"/>
    <mergeCell ref="AJ67:BK68"/>
    <mergeCell ref="AQ6:AW6"/>
    <mergeCell ref="AX6:BD6"/>
    <mergeCell ref="BE6:BK6"/>
    <mergeCell ref="AJ6:AP6"/>
    <mergeCell ref="AJ59:BK60"/>
    <mergeCell ref="A1:E1"/>
    <mergeCell ref="F1:I1"/>
    <mergeCell ref="AJ1:BK1"/>
    <mergeCell ref="AX4:BD4"/>
    <mergeCell ref="BE4:BK4"/>
    <mergeCell ref="F3:AG3"/>
    <mergeCell ref="AJ3:BK3"/>
    <mergeCell ref="D4:D7"/>
    <mergeCell ref="F4:L4"/>
    <mergeCell ref="M4:S4"/>
    <mergeCell ref="T4:Z4"/>
    <mergeCell ref="AA4:AG4"/>
    <mergeCell ref="AJ4:AP4"/>
    <mergeCell ref="AQ4:AW4"/>
    <mergeCell ref="AJ5:AP5"/>
    <mergeCell ref="AQ5:AW5"/>
    <mergeCell ref="AJ2:BK2"/>
    <mergeCell ref="T5:Z5"/>
    <mergeCell ref="AA5:AG5"/>
    <mergeCell ref="A65:AG66"/>
    <mergeCell ref="AJ65:BK66"/>
    <mergeCell ref="F5:L5"/>
    <mergeCell ref="M5:S5"/>
    <mergeCell ref="A56:AG57"/>
    <mergeCell ref="AX5:BD5"/>
    <mergeCell ref="BE5:BK5"/>
    <mergeCell ref="B6:B7"/>
    <mergeCell ref="F6:L6"/>
    <mergeCell ref="M6:S6"/>
    <mergeCell ref="T6:Z6"/>
    <mergeCell ref="AA6:AG6"/>
    <mergeCell ref="C4:C8"/>
  </mergeCells>
  <hyperlinks>
    <hyperlink ref="A61" r:id="rId1" xr:uid="{00000000-0004-0000-1000-000000000000}"/>
    <hyperlink ref="AJ63" r:id="rId2" xr:uid="{00000000-0004-0000-1000-000001000000}"/>
    <hyperlink ref="AJ69" r:id="rId3" xr:uid="{00000000-0004-0000-1000-000002000000}"/>
    <hyperlink ref="AJ64" r:id="rId4" xr:uid="{00000000-0004-0000-1000-000003000000}"/>
  </hyperlinks>
  <pageMargins left="0.7" right="0.7" top="0.75" bottom="0.75" header="0.3" footer="0.3"/>
  <pageSetup paperSize="9" orientation="portrait" horizontalDpi="4294967293" verticalDpi="0"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M82"/>
  <sheetViews>
    <sheetView topLeftCell="A21" zoomScale="70" zoomScaleNormal="70" workbookViewId="0">
      <selection activeCell="L9" sqref="L9"/>
    </sheetView>
  </sheetViews>
  <sheetFormatPr defaultRowHeight="14"/>
  <cols>
    <col min="1" max="1" width="40.7265625" style="15" customWidth="1"/>
    <col min="2" max="9" width="10.1796875" style="15" customWidth="1"/>
    <col min="10" max="11" width="12.08984375" style="15" customWidth="1"/>
    <col min="12" max="12" width="13.08984375" style="15" customWidth="1"/>
    <col min="13" max="13" width="12.453125" style="15" customWidth="1"/>
    <col min="14" max="16384" width="8.7265625" style="15"/>
  </cols>
  <sheetData>
    <row r="1" spans="1:13">
      <c r="A1" s="14" t="s">
        <v>12</v>
      </c>
    </row>
    <row r="2" spans="1:13">
      <c r="A2" s="16" t="s">
        <v>13</v>
      </c>
    </row>
    <row r="3" spans="1:13">
      <c r="A3" s="14"/>
    </row>
    <row r="4" spans="1:13">
      <c r="A4" s="17" t="s">
        <v>14</v>
      </c>
    </row>
    <row r="5" spans="1:13" ht="16">
      <c r="A5" s="17" t="s">
        <v>15</v>
      </c>
    </row>
    <row r="6" spans="1:13">
      <c r="A6" s="14"/>
    </row>
    <row r="7" spans="1:13" ht="14.5" thickBot="1">
      <c r="A7" s="18"/>
      <c r="B7" s="19"/>
      <c r="C7" s="19"/>
      <c r="D7" s="19"/>
      <c r="E7" s="19"/>
      <c r="F7" s="19"/>
      <c r="G7" s="19"/>
      <c r="H7" s="19"/>
      <c r="I7" s="19"/>
      <c r="J7" s="19"/>
      <c r="K7" s="19"/>
      <c r="L7" s="19"/>
    </row>
    <row r="8" spans="1:13">
      <c r="A8" s="14"/>
      <c r="B8" s="819" t="s">
        <v>16</v>
      </c>
      <c r="C8" s="819"/>
      <c r="D8" s="819"/>
      <c r="E8" s="819"/>
      <c r="F8" s="819"/>
      <c r="G8" s="819"/>
      <c r="H8" s="819"/>
      <c r="I8" s="819"/>
      <c r="J8" s="819"/>
      <c r="K8" s="58"/>
      <c r="L8" s="20"/>
    </row>
    <row r="9" spans="1:13" ht="45" customHeight="1">
      <c r="A9" s="21"/>
      <c r="B9" s="22" t="s">
        <v>17</v>
      </c>
      <c r="C9" s="22" t="s">
        <v>18</v>
      </c>
      <c r="D9" s="22" t="s">
        <v>19</v>
      </c>
      <c r="E9" s="22" t="s">
        <v>20</v>
      </c>
      <c r="F9" s="22" t="s">
        <v>21</v>
      </c>
      <c r="G9" s="22" t="s">
        <v>22</v>
      </c>
      <c r="H9" s="52" t="s">
        <v>23</v>
      </c>
      <c r="I9" s="52" t="s">
        <v>24</v>
      </c>
      <c r="J9" s="22" t="s">
        <v>25</v>
      </c>
      <c r="K9" s="22" t="s">
        <v>58</v>
      </c>
      <c r="L9" s="23" t="s">
        <v>26</v>
      </c>
      <c r="M9" s="59" t="s">
        <v>59</v>
      </c>
    </row>
    <row r="10" spans="1:13" ht="19" customHeight="1">
      <c r="A10" s="14" t="s">
        <v>57</v>
      </c>
      <c r="B10" s="47">
        <v>0.5</v>
      </c>
      <c r="C10" s="47">
        <v>1.5</v>
      </c>
      <c r="D10" s="47">
        <v>3.5</v>
      </c>
      <c r="E10" s="47">
        <v>7.5</v>
      </c>
      <c r="F10" s="47">
        <v>17.5</v>
      </c>
      <c r="G10" s="47">
        <v>37.5</v>
      </c>
      <c r="H10" s="53">
        <v>75</v>
      </c>
      <c r="I10" s="53">
        <v>100</v>
      </c>
      <c r="J10" s="47"/>
      <c r="K10" s="47"/>
      <c r="L10" s="51"/>
    </row>
    <row r="11" spans="1:13" ht="15" customHeight="1">
      <c r="A11" s="24" t="s">
        <v>27</v>
      </c>
      <c r="B11" s="25"/>
      <c r="C11" s="25"/>
      <c r="D11" s="25"/>
      <c r="E11" s="26"/>
      <c r="F11" s="25"/>
      <c r="G11" s="25"/>
      <c r="H11" s="54"/>
      <c r="I11" s="54"/>
      <c r="J11" s="25"/>
      <c r="K11" s="25"/>
      <c r="L11" s="26"/>
    </row>
    <row r="12" spans="1:13" ht="15" customHeight="1">
      <c r="A12" s="14" t="s">
        <v>28</v>
      </c>
      <c r="B12" s="27">
        <v>205.93246295607057</v>
      </c>
      <c r="C12" s="27">
        <v>204.87972097089801</v>
      </c>
      <c r="D12" s="27">
        <v>272.72375784556613</v>
      </c>
      <c r="E12" s="27">
        <v>170.88639851186468</v>
      </c>
      <c r="F12" s="27">
        <v>123.74059039221166</v>
      </c>
      <c r="G12" s="27">
        <v>23.302665400590154</v>
      </c>
      <c r="H12" s="55">
        <v>6.4221974276676175</v>
      </c>
      <c r="I12" s="55">
        <v>7.7196227421537422</v>
      </c>
      <c r="J12" s="27">
        <v>1015.6074162470225</v>
      </c>
      <c r="K12" s="27">
        <f>J12-H12-I12</f>
        <v>1001.4655960772011</v>
      </c>
      <c r="L12" s="27">
        <v>1528</v>
      </c>
      <c r="M12" s="60">
        <f>B12*B$10+C12*C$10+D12*D$10+E12*E$10+F12*F$10+G12*G$10</f>
        <v>5685.7772386186844</v>
      </c>
    </row>
    <row r="13" spans="1:13" ht="15" customHeight="1">
      <c r="A13" s="14" t="s">
        <v>29</v>
      </c>
      <c r="B13" s="27">
        <v>236.87754230202248</v>
      </c>
      <c r="C13" s="27">
        <v>184.52086506502417</v>
      </c>
      <c r="D13" s="27">
        <v>263.54845989242853</v>
      </c>
      <c r="E13" s="27">
        <v>155.27329148906404</v>
      </c>
      <c r="F13" s="27">
        <v>96.288426483380263</v>
      </c>
      <c r="G13" s="27">
        <v>27.07756087030187</v>
      </c>
      <c r="H13" s="55">
        <v>9.0627336297292445</v>
      </c>
      <c r="I13" s="55">
        <v>5.9365031184508661</v>
      </c>
      <c r="J13" s="27">
        <v>978.5853828504014</v>
      </c>
      <c r="K13" s="27">
        <f t="shared" ref="K13:K28" si="0">J13-H13-I13</f>
        <v>963.58614610222128</v>
      </c>
      <c r="L13" s="27">
        <v>3733</v>
      </c>
      <c r="M13" s="60">
        <f t="shared" ref="M13:M22" si="1">B13*B$10+C13*C$10+D13*D$10+E13*E$10+F13*F$10+G13*G$10</f>
        <v>5182.6453606355026</v>
      </c>
    </row>
    <row r="14" spans="1:13" ht="15" customHeight="1">
      <c r="A14" s="14" t="s">
        <v>30</v>
      </c>
      <c r="B14" s="27">
        <v>264.06629579126212</v>
      </c>
      <c r="C14" s="27">
        <v>191.34992560402296</v>
      </c>
      <c r="D14" s="27">
        <v>275.24616049753467</v>
      </c>
      <c r="E14" s="27">
        <v>142.36819395967319</v>
      </c>
      <c r="F14" s="27">
        <v>98.747822182244278</v>
      </c>
      <c r="G14" s="27">
        <v>27.134608350913609</v>
      </c>
      <c r="H14" s="55">
        <v>10.526602371754423</v>
      </c>
      <c r="I14" s="55">
        <v>5.5791777742243323</v>
      </c>
      <c r="J14" s="27">
        <v>1015.0187865316296</v>
      </c>
      <c r="K14" s="27">
        <f t="shared" si="0"/>
        <v>998.91300638565087</v>
      </c>
      <c r="L14" s="27">
        <v>2951</v>
      </c>
      <c r="M14" s="60">
        <f t="shared" si="1"/>
        <v>5195.8157540891207</v>
      </c>
    </row>
    <row r="15" spans="1:13" ht="15" customHeight="1">
      <c r="A15" s="14" t="s">
        <v>31</v>
      </c>
      <c r="B15" s="27">
        <v>272.49923511100229</v>
      </c>
      <c r="C15" s="27">
        <v>184.52056643483851</v>
      </c>
      <c r="D15" s="27">
        <v>249.36836688265325</v>
      </c>
      <c r="E15" s="27">
        <v>153.7581244178713</v>
      </c>
      <c r="F15" s="27">
        <v>125.33692096147023</v>
      </c>
      <c r="G15" s="27">
        <v>34.101747232211238</v>
      </c>
      <c r="H15" s="55">
        <v>16.343449653523969</v>
      </c>
      <c r="I15" s="55">
        <v>9.9934692823542441</v>
      </c>
      <c r="J15" s="27">
        <v>1045.9218799759249</v>
      </c>
      <c r="K15" s="27">
        <f t="shared" si="0"/>
        <v>1019.5849610400467</v>
      </c>
      <c r="L15" s="27">
        <v>2462</v>
      </c>
      <c r="M15" s="60">
        <f t="shared" si="1"/>
        <v>5911.2173224647304</v>
      </c>
    </row>
    <row r="16" spans="1:13" ht="15" customHeight="1">
      <c r="A16" s="14" t="s">
        <v>32</v>
      </c>
      <c r="B16" s="27">
        <v>229.27240930495265</v>
      </c>
      <c r="C16" s="27">
        <v>162.16004050540559</v>
      </c>
      <c r="D16" s="27">
        <v>247.17490504091262</v>
      </c>
      <c r="E16" s="27">
        <v>141.72872380398084</v>
      </c>
      <c r="F16" s="27">
        <v>97.994929510724575</v>
      </c>
      <c r="G16" s="27">
        <v>24.404860411725604</v>
      </c>
      <c r="H16" s="55">
        <v>10.007065230977762</v>
      </c>
      <c r="I16" s="55">
        <v>7.6411301166692427</v>
      </c>
      <c r="J16" s="27">
        <v>920.38406392534898</v>
      </c>
      <c r="K16" s="27">
        <f t="shared" si="0"/>
        <v>902.73586857770192</v>
      </c>
      <c r="L16" s="27">
        <v>2827</v>
      </c>
      <c r="M16" s="60">
        <f t="shared" si="1"/>
        <v>4916.0473934610254</v>
      </c>
    </row>
    <row r="17" spans="1:13" ht="15" customHeight="1">
      <c r="A17" s="14" t="s">
        <v>33</v>
      </c>
      <c r="B17" s="27">
        <v>222.50275473119856</v>
      </c>
      <c r="C17" s="27">
        <v>173.06747622691276</v>
      </c>
      <c r="D17" s="27">
        <v>244.67797496020464</v>
      </c>
      <c r="E17" s="27">
        <v>144.85718386440038</v>
      </c>
      <c r="F17" s="27">
        <v>146.47413230742472</v>
      </c>
      <c r="G17" s="27">
        <v>44.672684851656228</v>
      </c>
      <c r="H17" s="55">
        <v>15.654268246443548</v>
      </c>
      <c r="I17" s="55">
        <v>6.5116375583943231</v>
      </c>
      <c r="J17" s="27">
        <v>998.41811274663519</v>
      </c>
      <c r="K17" s="27">
        <f t="shared" si="0"/>
        <v>976.25220694179734</v>
      </c>
      <c r="L17" s="27">
        <v>3327</v>
      </c>
      <c r="M17" s="60">
        <f t="shared" si="1"/>
        <v>6552.1773803667293</v>
      </c>
    </row>
    <row r="18" spans="1:13" ht="15" customHeight="1">
      <c r="A18" s="14" t="s">
        <v>34</v>
      </c>
      <c r="B18" s="27">
        <v>249.53983091567267</v>
      </c>
      <c r="C18" s="27">
        <v>140.23163118529183</v>
      </c>
      <c r="D18" s="27">
        <v>188.7904923153188</v>
      </c>
      <c r="E18" s="27">
        <v>132.34751738990741</v>
      </c>
      <c r="F18" s="27">
        <v>84.162046683182069</v>
      </c>
      <c r="G18" s="27">
        <v>12.033909803038972</v>
      </c>
      <c r="H18" s="55">
        <v>5.9259171864828826</v>
      </c>
      <c r="I18" s="55">
        <v>3.4556251572796843</v>
      </c>
      <c r="J18" s="27">
        <v>816.48697063617453</v>
      </c>
      <c r="K18" s="27">
        <f t="shared" si="0"/>
        <v>807.10542829241194</v>
      </c>
      <c r="L18" s="27">
        <v>4166</v>
      </c>
      <c r="M18" s="60">
        <f t="shared" si="1"/>
        <v>3912.5979003333432</v>
      </c>
    </row>
    <row r="19" spans="1:13" ht="15" customHeight="1">
      <c r="A19" s="14" t="s">
        <v>35</v>
      </c>
      <c r="B19" s="27">
        <v>232.66453121421742</v>
      </c>
      <c r="C19" s="27">
        <v>182.56602876643845</v>
      </c>
      <c r="D19" s="27">
        <v>255.30217743782214</v>
      </c>
      <c r="E19" s="27">
        <v>155.66698973333811</v>
      </c>
      <c r="F19" s="27">
        <v>123.01793623849188</v>
      </c>
      <c r="G19" s="27">
        <v>39.345006220614401</v>
      </c>
      <c r="H19" s="55">
        <v>18.967178371223593</v>
      </c>
      <c r="I19" s="55">
        <v>6.3359446948891556</v>
      </c>
      <c r="J19" s="27">
        <v>1013.8657926770352</v>
      </c>
      <c r="K19" s="27">
        <f t="shared" si="0"/>
        <v>988.56266961092251</v>
      </c>
      <c r="L19" s="27">
        <v>4755</v>
      </c>
      <c r="M19" s="60">
        <f t="shared" si="1"/>
        <v>6079.4929702358277</v>
      </c>
    </row>
    <row r="20" spans="1:13" ht="15" customHeight="1">
      <c r="A20" s="14" t="s">
        <v>36</v>
      </c>
      <c r="B20" s="27">
        <v>240.0673342081146</v>
      </c>
      <c r="C20" s="27">
        <v>200.21364797767885</v>
      </c>
      <c r="D20" s="27">
        <v>251.64586152443968</v>
      </c>
      <c r="E20" s="27">
        <v>150.81439372077546</v>
      </c>
      <c r="F20" s="27">
        <v>121.05478324224744</v>
      </c>
      <c r="G20" s="27">
        <v>29.614280335704674</v>
      </c>
      <c r="H20" s="55">
        <v>11.116067270037441</v>
      </c>
      <c r="I20" s="55">
        <v>10.971283083150524</v>
      </c>
      <c r="J20" s="27">
        <v>1015.4976513621486</v>
      </c>
      <c r="K20" s="27">
        <f t="shared" si="0"/>
        <v>993.41030100896069</v>
      </c>
      <c r="L20" s="27">
        <v>2757</v>
      </c>
      <c r="M20" s="60">
        <f t="shared" si="1"/>
        <v>5661.2168266401859</v>
      </c>
    </row>
    <row r="21" spans="1:13">
      <c r="A21" s="14" t="s">
        <v>37</v>
      </c>
      <c r="B21" s="27">
        <v>238.6309033222912</v>
      </c>
      <c r="C21" s="27">
        <v>183.62879153925047</v>
      </c>
      <c r="D21" s="27">
        <v>256.43230471866633</v>
      </c>
      <c r="E21" s="27">
        <v>150.97592130174476</v>
      </c>
      <c r="F21" s="27">
        <v>116.05247091756763</v>
      </c>
      <c r="G21" s="27">
        <v>32.25691251326149</v>
      </c>
      <c r="H21" s="55">
        <v>12.978535948769158</v>
      </c>
      <c r="I21" s="55">
        <v>7.3716203674836986</v>
      </c>
      <c r="J21" s="27">
        <v>998.32746062903459</v>
      </c>
      <c r="K21" s="27">
        <f t="shared" si="0"/>
        <v>977.97730431278171</v>
      </c>
      <c r="L21" s="27">
        <v>24340</v>
      </c>
      <c r="M21" s="60">
        <f t="shared" si="1"/>
        <v>5665.1435755531784</v>
      </c>
    </row>
    <row r="22" spans="1:13">
      <c r="A22" s="21" t="s">
        <v>38</v>
      </c>
      <c r="B22" s="28">
        <v>240.3716006544488</v>
      </c>
      <c r="C22" s="28">
        <v>176.70406675721213</v>
      </c>
      <c r="D22" s="28">
        <v>245.63895024959393</v>
      </c>
      <c r="E22" s="28">
        <v>148.00345561122515</v>
      </c>
      <c r="F22" s="28">
        <v>110.96383356884712</v>
      </c>
      <c r="G22" s="28">
        <v>29.030002575087792</v>
      </c>
      <c r="H22" s="56">
        <v>11.853175590553521</v>
      </c>
      <c r="I22" s="56">
        <v>6.7467594582152506</v>
      </c>
      <c r="J22" s="28">
        <v>969.31184446518364</v>
      </c>
      <c r="K22" s="27">
        <f t="shared" si="0"/>
        <v>950.71190941641487</v>
      </c>
      <c r="L22" s="28">
        <v>28506</v>
      </c>
      <c r="M22" s="60">
        <f t="shared" si="1"/>
        <v>5385.4963274414276</v>
      </c>
    </row>
    <row r="23" spans="1:13" ht="16">
      <c r="A23" s="24" t="s">
        <v>39</v>
      </c>
      <c r="B23" s="27"/>
      <c r="C23" s="27"/>
      <c r="D23" s="27"/>
      <c r="E23" s="27"/>
      <c r="F23" s="27"/>
      <c r="G23" s="27"/>
      <c r="H23" s="55"/>
      <c r="I23" s="55"/>
      <c r="J23" s="27"/>
      <c r="K23" s="27"/>
      <c r="L23" s="27"/>
    </row>
    <row r="24" spans="1:13">
      <c r="A24" s="29" t="s">
        <v>40</v>
      </c>
      <c r="B24" s="27">
        <v>239.14517775759083</v>
      </c>
      <c r="C24" s="27">
        <v>164.52325728641125</v>
      </c>
      <c r="D24" s="27">
        <v>235.91268349909143</v>
      </c>
      <c r="E24" s="27">
        <v>139.26091286439257</v>
      </c>
      <c r="F24" s="27">
        <v>85.647425471916819</v>
      </c>
      <c r="G24" s="27">
        <v>17.898077459094722</v>
      </c>
      <c r="H24" s="55">
        <v>7.1591381622113017</v>
      </c>
      <c r="I24" s="55">
        <v>4.8703813629914112</v>
      </c>
      <c r="J24" s="27">
        <v>894.41705386370029</v>
      </c>
      <c r="K24" s="27">
        <f t="shared" si="0"/>
        <v>882.38753433849752</v>
      </c>
      <c r="L24" s="27">
        <v>10596</v>
      </c>
      <c r="M24" s="60">
        <f t="shared" ref="M24:M28" si="2">B24*B$10+C24*C$10+D24*D$10+E24*E$10+F24*F$10+G24*G$10</f>
        <v>4406.5165640127725</v>
      </c>
    </row>
    <row r="25" spans="1:13">
      <c r="A25" s="29" t="s">
        <v>41</v>
      </c>
      <c r="B25" s="27">
        <v>258.4275074275053</v>
      </c>
      <c r="C25" s="27">
        <v>209.83615539322491</v>
      </c>
      <c r="D25" s="27">
        <v>259.34362728810294</v>
      </c>
      <c r="E25" s="27">
        <v>125.38774284361824</v>
      </c>
      <c r="F25" s="27">
        <v>106.19271561218264</v>
      </c>
      <c r="G25" s="27">
        <v>32.554843573106908</v>
      </c>
      <c r="H25" s="55">
        <v>13.926357095154792</v>
      </c>
      <c r="I25" s="55">
        <v>7.5248223976706363</v>
      </c>
      <c r="J25" s="27">
        <v>1013.1937716305665</v>
      </c>
      <c r="K25" s="27">
        <f t="shared" si="0"/>
        <v>991.7425921377411</v>
      </c>
      <c r="L25" s="27">
        <v>12351</v>
      </c>
      <c r="M25" s="60">
        <f t="shared" si="2"/>
        <v>5371.2579108437931</v>
      </c>
    </row>
    <row r="26" spans="1:13">
      <c r="A26" s="29" t="s">
        <v>42</v>
      </c>
      <c r="B26" s="27">
        <v>249.90662537559263</v>
      </c>
      <c r="C26" s="27">
        <v>134.07121502431391</v>
      </c>
      <c r="D26" s="27">
        <v>202.29042056143814</v>
      </c>
      <c r="E26" s="27">
        <v>204.81328674005621</v>
      </c>
      <c r="F26" s="27">
        <v>166.45503926472102</v>
      </c>
      <c r="G26" s="27">
        <v>41.096366235519177</v>
      </c>
      <c r="H26" s="55">
        <v>15.999146946795669</v>
      </c>
      <c r="I26" s="55">
        <v>8.7548445925183014</v>
      </c>
      <c r="J26" s="27">
        <v>1023.3869447409552</v>
      </c>
      <c r="K26" s="27">
        <f t="shared" si="0"/>
        <v>998.63295320164116</v>
      </c>
      <c r="L26" s="27">
        <v>2788</v>
      </c>
      <c r="M26" s="60">
        <f t="shared" si="2"/>
        <v>7024.2531787043099</v>
      </c>
    </row>
    <row r="27" spans="1:13">
      <c r="A27" s="29" t="s">
        <v>43</v>
      </c>
      <c r="B27" s="27">
        <v>145.81440426616581</v>
      </c>
      <c r="C27" s="27">
        <v>107.00091727082773</v>
      </c>
      <c r="D27" s="27">
        <v>263.16718503978586</v>
      </c>
      <c r="E27" s="27">
        <v>244.23673304963643</v>
      </c>
      <c r="F27" s="27">
        <v>192.89713951436678</v>
      </c>
      <c r="G27" s="27">
        <v>49.054178900987829</v>
      </c>
      <c r="H27" s="55">
        <v>18.284957358051358</v>
      </c>
      <c r="I27" s="55">
        <v>9.224765254062758</v>
      </c>
      <c r="J27" s="27">
        <v>1029.6802806538847</v>
      </c>
      <c r="K27" s="27">
        <f t="shared" si="0"/>
        <v>1002.1705580417706</v>
      </c>
      <c r="L27" s="27">
        <v>2771</v>
      </c>
      <c r="M27" s="60">
        <f t="shared" si="2"/>
        <v>8201.5008738393117</v>
      </c>
    </row>
    <row r="28" spans="1:13" ht="14.5" thickBot="1">
      <c r="A28" s="30" t="s">
        <v>44</v>
      </c>
      <c r="B28" s="31">
        <v>240.37160065444817</v>
      </c>
      <c r="C28" s="31">
        <v>176.70406675721151</v>
      </c>
      <c r="D28" s="31">
        <v>245.63895024959322</v>
      </c>
      <c r="E28" s="31">
        <v>148.00345561122455</v>
      </c>
      <c r="F28" s="31">
        <v>110.96383356884678</v>
      </c>
      <c r="G28" s="31">
        <v>29.030002575087703</v>
      </c>
      <c r="H28" s="57">
        <v>11.853175590553489</v>
      </c>
      <c r="I28" s="57">
        <v>6.7467594582152426</v>
      </c>
      <c r="J28" s="31">
        <v>969.31184446518068</v>
      </c>
      <c r="K28" s="27">
        <f t="shared" si="0"/>
        <v>950.71190941641191</v>
      </c>
      <c r="L28" s="31">
        <v>28506</v>
      </c>
      <c r="M28" s="60">
        <f t="shared" si="2"/>
        <v>5385.4963274414094</v>
      </c>
    </row>
    <row r="29" spans="1:13">
      <c r="A29" s="50"/>
      <c r="B29" s="27"/>
      <c r="C29" s="27"/>
      <c r="D29" s="27"/>
      <c r="E29" s="27"/>
      <c r="F29" s="27"/>
      <c r="G29" s="27"/>
      <c r="H29" s="27"/>
      <c r="I29" s="27"/>
      <c r="J29" s="27"/>
      <c r="K29" s="27"/>
      <c r="L29" s="27"/>
    </row>
    <row r="30" spans="1:13" ht="14.5">
      <c r="A30" s="14"/>
      <c r="B30" s="32"/>
      <c r="C30" s="32"/>
      <c r="D30" s="32"/>
      <c r="E30" s="32"/>
      <c r="F30" s="32"/>
      <c r="G30" s="32"/>
      <c r="H30" s="32"/>
      <c r="I30" s="32"/>
      <c r="J30" s="32"/>
      <c r="K30" s="32"/>
      <c r="L30" s="33"/>
    </row>
    <row r="31" spans="1:13" ht="14.5">
      <c r="A31" s="34" t="s">
        <v>45</v>
      </c>
      <c r="B31" s="32"/>
      <c r="C31" s="32"/>
      <c r="D31" s="32"/>
      <c r="E31" s="32"/>
      <c r="F31" s="32"/>
      <c r="G31" s="32"/>
      <c r="H31" s="32"/>
      <c r="I31" s="32"/>
      <c r="J31" s="32"/>
      <c r="K31" s="32"/>
      <c r="L31" s="32"/>
      <c r="M31" s="32"/>
    </row>
    <row r="32" spans="1:13" ht="14.5">
      <c r="A32" s="35" t="s">
        <v>46</v>
      </c>
      <c r="B32" s="32"/>
      <c r="C32" s="32"/>
      <c r="D32" s="32"/>
      <c r="E32" s="32"/>
      <c r="F32" s="32"/>
      <c r="G32" s="32"/>
      <c r="H32" s="32"/>
      <c r="I32" s="32"/>
      <c r="J32" s="32"/>
      <c r="K32" s="32"/>
      <c r="L32" s="32"/>
      <c r="M32" s="32"/>
    </row>
    <row r="33" spans="1:13" ht="14.5">
      <c r="A33" s="15" t="s">
        <v>47</v>
      </c>
      <c r="B33" s="32"/>
      <c r="C33" s="32"/>
      <c r="D33" s="32"/>
      <c r="E33" s="32"/>
      <c r="F33" s="32"/>
      <c r="G33" s="32"/>
      <c r="H33" s="32"/>
      <c r="I33" s="32"/>
      <c r="J33" s="32"/>
      <c r="K33" s="32"/>
      <c r="L33" s="32"/>
      <c r="M33" s="32"/>
    </row>
    <row r="34" spans="1:13" ht="14.5">
      <c r="B34" s="36"/>
      <c r="C34" s="36"/>
      <c r="D34" s="36"/>
      <c r="E34" s="36"/>
      <c r="F34" s="36"/>
      <c r="G34" s="36"/>
      <c r="H34" s="36"/>
      <c r="I34" s="36"/>
      <c r="J34" s="36"/>
      <c r="K34" s="36"/>
      <c r="L34" s="36"/>
      <c r="M34" s="32"/>
    </row>
    <row r="35" spans="1:13" ht="14.5">
      <c r="A35" s="15" t="s">
        <v>48</v>
      </c>
      <c r="B35" s="37"/>
      <c r="C35" s="37"/>
      <c r="D35" s="37"/>
      <c r="E35" s="37"/>
      <c r="F35" s="37"/>
      <c r="G35" s="37"/>
      <c r="H35" s="37"/>
      <c r="I35" s="37"/>
      <c r="J35" s="37"/>
      <c r="K35" s="37"/>
      <c r="L35" s="37"/>
      <c r="M35" s="32"/>
    </row>
    <row r="36" spans="1:13" ht="15" customHeight="1">
      <c r="A36" s="34" t="s">
        <v>49</v>
      </c>
      <c r="B36" s="38"/>
      <c r="C36" s="38"/>
      <c r="D36" s="38"/>
      <c r="E36" s="39"/>
      <c r="F36" s="38"/>
      <c r="H36" s="32"/>
      <c r="I36" s="32"/>
      <c r="J36" s="32"/>
      <c r="K36" s="32"/>
      <c r="L36" s="32"/>
      <c r="M36" s="32"/>
    </row>
    <row r="37" spans="1:13" ht="15" customHeight="1">
      <c r="A37" s="34" t="s">
        <v>50</v>
      </c>
      <c r="B37" s="38"/>
      <c r="C37" s="38"/>
      <c r="D37" s="38"/>
      <c r="E37" s="39"/>
      <c r="F37" s="38"/>
      <c r="H37" s="32"/>
      <c r="I37" s="32"/>
      <c r="J37" s="32"/>
      <c r="K37" s="32"/>
      <c r="L37" s="32"/>
      <c r="M37" s="37"/>
    </row>
    <row r="38" spans="1:13" ht="14.5">
      <c r="A38" s="40"/>
      <c r="B38" s="41"/>
      <c r="L38" s="42" t="s">
        <v>51</v>
      </c>
      <c r="M38" s="32"/>
    </row>
    <row r="39" spans="1:13" ht="14.5">
      <c r="A39" s="43" t="s">
        <v>52</v>
      </c>
      <c r="D39" s="44"/>
      <c r="L39" s="45" t="s">
        <v>53</v>
      </c>
      <c r="M39" s="32"/>
    </row>
    <row r="40" spans="1:13" ht="14.5">
      <c r="A40" s="46" t="s">
        <v>54</v>
      </c>
      <c r="L40" s="42" t="s">
        <v>55</v>
      </c>
      <c r="M40" s="32"/>
    </row>
    <row r="41" spans="1:13" ht="14.5">
      <c r="M41" s="32"/>
    </row>
    <row r="42" spans="1:13" ht="12.75" customHeight="1">
      <c r="M42" s="32"/>
    </row>
    <row r="43" spans="1:13" ht="14.5">
      <c r="A43" s="14"/>
      <c r="B43" s="47"/>
      <c r="C43" s="47"/>
      <c r="D43" s="47"/>
      <c r="E43" s="47"/>
      <c r="F43" s="47"/>
      <c r="G43" s="47"/>
      <c r="H43" s="47"/>
      <c r="I43" s="47"/>
      <c r="J43" s="47"/>
      <c r="K43" s="47"/>
      <c r="L43" s="20"/>
      <c r="M43" s="32"/>
    </row>
    <row r="44" spans="1:13">
      <c r="A44" s="24"/>
      <c r="B44" s="25"/>
      <c r="C44" s="25"/>
      <c r="D44" s="25"/>
      <c r="E44" s="26"/>
      <c r="F44" s="25"/>
      <c r="G44" s="25"/>
      <c r="H44" s="25"/>
      <c r="I44" s="25"/>
      <c r="J44" s="25"/>
      <c r="K44" s="25"/>
      <c r="L44" s="26"/>
    </row>
    <row r="45" spans="1:13">
      <c r="A45" s="14"/>
      <c r="B45" s="27"/>
      <c r="C45" s="27"/>
      <c r="D45" s="27"/>
      <c r="E45" s="27"/>
      <c r="F45" s="27"/>
      <c r="G45" s="27"/>
      <c r="H45" s="27"/>
      <c r="I45" s="27"/>
      <c r="J45" s="27"/>
      <c r="K45" s="27"/>
      <c r="L45" s="27"/>
    </row>
    <row r="46" spans="1:13">
      <c r="A46" s="14"/>
      <c r="B46" s="27"/>
      <c r="C46" s="27"/>
      <c r="D46" s="27"/>
      <c r="E46" s="27"/>
      <c r="F46" s="27"/>
      <c r="G46" s="27"/>
      <c r="H46" s="27"/>
      <c r="I46" s="27"/>
      <c r="J46" s="27"/>
      <c r="K46" s="27"/>
      <c r="L46" s="27"/>
    </row>
    <row r="47" spans="1:13">
      <c r="A47" s="14"/>
      <c r="B47" s="27"/>
      <c r="C47" s="27"/>
      <c r="D47" s="27"/>
      <c r="E47" s="27"/>
      <c r="F47" s="27"/>
      <c r="G47" s="27"/>
      <c r="H47" s="27"/>
      <c r="I47" s="27"/>
      <c r="J47" s="27"/>
      <c r="K47" s="27"/>
      <c r="L47" s="27"/>
    </row>
    <row r="48" spans="1:13">
      <c r="A48" s="14"/>
      <c r="B48" s="27"/>
      <c r="C48" s="27"/>
      <c r="D48" s="27"/>
      <c r="E48" s="27"/>
      <c r="F48" s="27"/>
      <c r="G48" s="27"/>
      <c r="H48" s="27"/>
      <c r="I48" s="27"/>
      <c r="J48" s="27"/>
      <c r="K48" s="27"/>
      <c r="L48" s="27"/>
    </row>
    <row r="49" spans="1:12">
      <c r="A49" s="14"/>
      <c r="B49" s="27"/>
      <c r="C49" s="27"/>
      <c r="D49" s="27"/>
      <c r="E49" s="27"/>
      <c r="F49" s="27"/>
      <c r="G49" s="27"/>
      <c r="H49" s="27"/>
      <c r="I49" s="27"/>
      <c r="J49" s="27"/>
      <c r="K49" s="27"/>
      <c r="L49" s="27"/>
    </row>
    <row r="50" spans="1:12">
      <c r="A50" s="14"/>
      <c r="B50" s="27"/>
      <c r="C50" s="27"/>
      <c r="D50" s="27"/>
      <c r="E50" s="27"/>
      <c r="F50" s="27"/>
      <c r="G50" s="27"/>
      <c r="H50" s="27"/>
      <c r="I50" s="27"/>
      <c r="J50" s="27"/>
      <c r="K50" s="27"/>
      <c r="L50" s="27"/>
    </row>
    <row r="51" spans="1:12">
      <c r="A51" s="14"/>
      <c r="B51" s="27"/>
      <c r="C51" s="27"/>
      <c r="D51" s="27"/>
      <c r="E51" s="27"/>
      <c r="F51" s="27"/>
      <c r="G51" s="27"/>
      <c r="H51" s="27"/>
      <c r="I51" s="27"/>
      <c r="J51" s="27"/>
      <c r="K51" s="27"/>
      <c r="L51" s="27"/>
    </row>
    <row r="52" spans="1:12">
      <c r="A52" s="14"/>
      <c r="B52" s="27"/>
      <c r="C52" s="27"/>
      <c r="D52" s="27"/>
      <c r="E52" s="27"/>
      <c r="F52" s="27"/>
      <c r="G52" s="27"/>
      <c r="H52" s="27"/>
      <c r="I52" s="27"/>
      <c r="J52" s="27"/>
      <c r="K52" s="27"/>
      <c r="L52" s="27"/>
    </row>
    <row r="53" spans="1:12">
      <c r="A53" s="14"/>
      <c r="B53" s="27"/>
      <c r="C53" s="27"/>
      <c r="D53" s="27"/>
      <c r="E53" s="27"/>
      <c r="F53" s="27"/>
      <c r="G53" s="27"/>
      <c r="H53" s="27"/>
      <c r="I53" s="27"/>
      <c r="J53" s="27"/>
      <c r="K53" s="27"/>
      <c r="L53" s="27"/>
    </row>
    <row r="54" spans="1:12">
      <c r="A54" s="14"/>
      <c r="B54" s="27"/>
      <c r="C54" s="27"/>
      <c r="D54" s="27"/>
      <c r="E54" s="27"/>
      <c r="F54" s="27"/>
      <c r="G54" s="27"/>
      <c r="H54" s="27"/>
      <c r="I54" s="27"/>
      <c r="J54" s="27"/>
      <c r="K54" s="27"/>
      <c r="L54" s="27"/>
    </row>
    <row r="55" spans="1:12">
      <c r="A55" s="14"/>
      <c r="B55" s="27"/>
      <c r="C55" s="27"/>
      <c r="D55" s="27"/>
      <c r="E55" s="27"/>
      <c r="F55" s="27"/>
      <c r="G55" s="27"/>
      <c r="H55" s="27"/>
      <c r="I55" s="27"/>
      <c r="J55" s="27"/>
      <c r="K55" s="27"/>
      <c r="L55" s="27"/>
    </row>
    <row r="56" spans="1:12">
      <c r="A56" s="24"/>
      <c r="B56" s="27"/>
      <c r="C56" s="27"/>
      <c r="D56" s="27"/>
      <c r="E56" s="27"/>
      <c r="F56" s="27"/>
      <c r="G56" s="27"/>
      <c r="H56" s="27"/>
      <c r="I56" s="27"/>
      <c r="J56" s="27"/>
      <c r="K56" s="27"/>
      <c r="L56" s="27"/>
    </row>
    <row r="57" spans="1:12">
      <c r="A57" s="29"/>
      <c r="B57" s="27"/>
      <c r="C57" s="27"/>
      <c r="D57" s="27"/>
      <c r="E57" s="27"/>
      <c r="F57" s="27"/>
      <c r="G57" s="27"/>
      <c r="H57" s="27"/>
      <c r="I57" s="27"/>
      <c r="J57" s="27"/>
      <c r="K57" s="27"/>
      <c r="L57" s="27"/>
    </row>
    <row r="58" spans="1:12">
      <c r="A58" s="29"/>
      <c r="B58" s="27"/>
      <c r="C58" s="27"/>
      <c r="D58" s="27"/>
      <c r="E58" s="27"/>
      <c r="F58" s="27"/>
      <c r="G58" s="27"/>
      <c r="H58" s="27"/>
      <c r="I58" s="27"/>
      <c r="J58" s="27"/>
      <c r="K58" s="27"/>
      <c r="L58" s="27"/>
    </row>
    <row r="59" spans="1:12">
      <c r="A59" s="29"/>
      <c r="B59" s="27"/>
      <c r="C59" s="27"/>
      <c r="D59" s="27"/>
      <c r="E59" s="27"/>
      <c r="F59" s="27"/>
      <c r="G59" s="27"/>
      <c r="H59" s="27"/>
      <c r="I59" s="27"/>
      <c r="J59" s="27"/>
      <c r="K59" s="27"/>
      <c r="L59" s="27"/>
    </row>
    <row r="60" spans="1:12">
      <c r="A60" s="29"/>
      <c r="B60" s="27"/>
      <c r="C60" s="27"/>
      <c r="D60" s="27"/>
      <c r="E60" s="27"/>
      <c r="F60" s="27"/>
      <c r="G60" s="27"/>
      <c r="H60" s="27"/>
      <c r="I60" s="27"/>
      <c r="J60" s="27"/>
      <c r="K60" s="27"/>
      <c r="L60" s="27"/>
    </row>
    <row r="61" spans="1:12">
      <c r="A61" s="29"/>
      <c r="B61" s="27"/>
      <c r="C61" s="27"/>
      <c r="D61" s="27"/>
      <c r="E61" s="27"/>
      <c r="F61" s="27"/>
      <c r="G61" s="27"/>
      <c r="H61" s="27"/>
      <c r="I61" s="27"/>
      <c r="J61" s="27"/>
      <c r="K61" s="27"/>
      <c r="L61" s="27"/>
    </row>
    <row r="64" spans="1:12">
      <c r="A64" s="14"/>
      <c r="B64" s="48"/>
      <c r="C64" s="48"/>
      <c r="D64" s="48"/>
      <c r="E64" s="48"/>
      <c r="F64" s="48"/>
      <c r="G64" s="48"/>
      <c r="H64" s="48"/>
      <c r="I64" s="48"/>
      <c r="J64" s="48"/>
      <c r="K64" s="48"/>
      <c r="L64" s="48"/>
    </row>
    <row r="65" spans="1:12">
      <c r="A65" s="14"/>
      <c r="B65" s="48"/>
      <c r="C65" s="48"/>
      <c r="D65" s="48"/>
      <c r="E65" s="48"/>
      <c r="F65" s="48"/>
      <c r="G65" s="48"/>
      <c r="H65" s="48"/>
      <c r="I65" s="48"/>
      <c r="J65" s="48"/>
      <c r="K65" s="48"/>
      <c r="L65" s="48"/>
    </row>
    <row r="66" spans="1:12">
      <c r="A66" s="14"/>
      <c r="B66" s="48"/>
      <c r="C66" s="48"/>
      <c r="D66" s="48"/>
      <c r="E66" s="48"/>
      <c r="F66" s="48"/>
      <c r="G66" s="48"/>
      <c r="H66" s="48"/>
      <c r="I66" s="48"/>
      <c r="J66" s="48"/>
      <c r="K66" s="48"/>
      <c r="L66" s="48"/>
    </row>
    <row r="67" spans="1:12">
      <c r="A67" s="14"/>
      <c r="B67" s="48"/>
      <c r="C67" s="48"/>
      <c r="D67" s="48"/>
      <c r="E67" s="48"/>
      <c r="F67" s="48"/>
      <c r="G67" s="48"/>
      <c r="H67" s="48"/>
      <c r="I67" s="48"/>
      <c r="J67" s="48"/>
      <c r="K67" s="48"/>
      <c r="L67" s="48"/>
    </row>
    <row r="68" spans="1:12">
      <c r="A68" s="14"/>
      <c r="B68" s="48"/>
      <c r="C68" s="48"/>
      <c r="D68" s="48"/>
      <c r="E68" s="48"/>
      <c r="F68" s="48"/>
      <c r="G68" s="48"/>
      <c r="H68" s="48"/>
      <c r="I68" s="48"/>
      <c r="J68" s="48"/>
      <c r="K68" s="48"/>
      <c r="L68" s="48"/>
    </row>
    <row r="69" spans="1:12">
      <c r="A69" s="14"/>
      <c r="B69" s="48"/>
      <c r="C69" s="48"/>
      <c r="D69" s="48"/>
      <c r="E69" s="48"/>
      <c r="F69" s="48"/>
      <c r="G69" s="48"/>
      <c r="H69" s="48"/>
      <c r="I69" s="48"/>
      <c r="J69" s="48"/>
      <c r="K69" s="48"/>
      <c r="L69" s="48"/>
    </row>
    <row r="70" spans="1:12">
      <c r="A70" s="14"/>
      <c r="B70" s="48"/>
      <c r="C70" s="48"/>
      <c r="D70" s="48"/>
      <c r="E70" s="48"/>
      <c r="F70" s="48"/>
      <c r="G70" s="48"/>
      <c r="H70" s="48"/>
      <c r="I70" s="48"/>
      <c r="J70" s="48"/>
      <c r="K70" s="48"/>
      <c r="L70" s="48"/>
    </row>
    <row r="71" spans="1:12">
      <c r="A71" s="14"/>
      <c r="B71" s="48"/>
      <c r="C71" s="48"/>
      <c r="D71" s="48"/>
      <c r="E71" s="48"/>
      <c r="F71" s="48"/>
      <c r="G71" s="48"/>
      <c r="H71" s="48"/>
      <c r="I71" s="48"/>
      <c r="J71" s="48"/>
      <c r="K71" s="48"/>
      <c r="L71" s="48"/>
    </row>
    <row r="72" spans="1:12">
      <c r="A72" s="14"/>
      <c r="B72" s="48"/>
      <c r="C72" s="48"/>
      <c r="D72" s="48"/>
      <c r="E72" s="48"/>
      <c r="F72" s="48"/>
      <c r="G72" s="48"/>
      <c r="H72" s="48"/>
      <c r="I72" s="48"/>
      <c r="J72" s="48"/>
      <c r="K72" s="48"/>
      <c r="L72" s="48"/>
    </row>
    <row r="73" spans="1:12">
      <c r="A73" s="14"/>
      <c r="B73" s="48"/>
      <c r="C73" s="48"/>
      <c r="D73" s="48"/>
      <c r="E73" s="48"/>
      <c r="F73" s="48"/>
      <c r="G73" s="48"/>
      <c r="H73" s="48"/>
      <c r="I73" s="48"/>
      <c r="J73" s="48"/>
      <c r="K73" s="48"/>
      <c r="L73" s="48"/>
    </row>
    <row r="74" spans="1:12">
      <c r="A74" s="14"/>
      <c r="B74" s="48"/>
      <c r="C74" s="48"/>
      <c r="D74" s="48"/>
      <c r="E74" s="48"/>
      <c r="F74" s="48"/>
      <c r="G74" s="48"/>
      <c r="H74" s="48"/>
      <c r="I74" s="48"/>
      <c r="J74" s="48"/>
      <c r="K74" s="48"/>
      <c r="L74" s="48"/>
    </row>
    <row r="75" spans="1:12">
      <c r="A75" s="24"/>
      <c r="B75" s="48"/>
      <c r="C75" s="48"/>
      <c r="D75" s="48"/>
      <c r="E75" s="48"/>
      <c r="F75" s="48"/>
      <c r="G75" s="48"/>
      <c r="H75" s="48"/>
      <c r="I75" s="48"/>
      <c r="J75" s="48"/>
      <c r="K75" s="48"/>
      <c r="L75" s="48"/>
    </row>
    <row r="76" spans="1:12">
      <c r="A76" s="29"/>
      <c r="B76" s="48"/>
      <c r="C76" s="48"/>
      <c r="D76" s="48"/>
      <c r="E76" s="48"/>
      <c r="F76" s="48"/>
      <c r="G76" s="48"/>
      <c r="H76" s="48"/>
      <c r="I76" s="48"/>
      <c r="J76" s="48"/>
      <c r="K76" s="48"/>
      <c r="L76" s="48"/>
    </row>
    <row r="77" spans="1:12">
      <c r="A77" s="29"/>
      <c r="B77" s="48"/>
      <c r="C77" s="48"/>
      <c r="D77" s="48"/>
      <c r="E77" s="48"/>
      <c r="F77" s="48"/>
      <c r="G77" s="48"/>
      <c r="H77" s="48"/>
      <c r="I77" s="48"/>
      <c r="J77" s="48"/>
      <c r="K77" s="48"/>
      <c r="L77" s="48"/>
    </row>
    <row r="78" spans="1:12">
      <c r="A78" s="29"/>
      <c r="B78" s="48"/>
      <c r="C78" s="48"/>
      <c r="D78" s="48"/>
      <c r="E78" s="48"/>
      <c r="F78" s="48"/>
      <c r="G78" s="48"/>
      <c r="H78" s="48"/>
      <c r="I78" s="48"/>
      <c r="J78" s="48"/>
      <c r="K78" s="48"/>
      <c r="L78" s="48"/>
    </row>
    <row r="79" spans="1:12">
      <c r="A79" s="29"/>
      <c r="B79" s="48"/>
      <c r="C79" s="48"/>
      <c r="D79" s="48"/>
      <c r="E79" s="48"/>
      <c r="F79" s="48"/>
      <c r="G79" s="48"/>
      <c r="H79" s="48"/>
      <c r="I79" s="48"/>
      <c r="J79" s="48"/>
      <c r="K79" s="48"/>
      <c r="L79" s="48"/>
    </row>
    <row r="80" spans="1:12">
      <c r="A80" s="29"/>
      <c r="B80" s="48"/>
      <c r="C80" s="48"/>
      <c r="D80" s="48"/>
      <c r="E80" s="48"/>
      <c r="F80" s="48"/>
      <c r="G80" s="48"/>
      <c r="H80" s="48"/>
      <c r="I80" s="48"/>
      <c r="J80" s="48"/>
      <c r="K80" s="48"/>
      <c r="L80" s="48"/>
    </row>
    <row r="81" spans="2:12">
      <c r="B81" s="27"/>
      <c r="C81" s="27"/>
      <c r="D81" s="27"/>
      <c r="E81" s="27"/>
      <c r="F81" s="27"/>
      <c r="G81" s="27"/>
      <c r="H81" s="27"/>
      <c r="I81" s="27"/>
      <c r="J81" s="27"/>
      <c r="K81" s="27"/>
      <c r="L81" s="27"/>
    </row>
    <row r="82" spans="2:12">
      <c r="B82" s="27"/>
      <c r="C82" s="27"/>
      <c r="D82" s="27"/>
      <c r="E82" s="27"/>
      <c r="F82" s="27"/>
      <c r="G82" s="27"/>
      <c r="H82" s="27"/>
      <c r="I82" s="27"/>
      <c r="J82" s="27"/>
      <c r="K82" s="27"/>
      <c r="L82" s="27"/>
    </row>
  </sheetData>
  <mergeCells count="1">
    <mergeCell ref="B8:J8"/>
  </mergeCells>
  <hyperlinks>
    <hyperlink ref="A2" r:id="rId1" xr:uid="{00000000-0004-0000-1100-000000000000}"/>
    <hyperlink ref="A32" r:id="rId2" xr:uid="{00000000-0004-0000-1100-000001000000}"/>
    <hyperlink ref="A39" r:id="rId3" xr:uid="{00000000-0004-0000-1100-000002000000}"/>
    <hyperlink ref="A40" r:id="rId4" xr:uid="{00000000-0004-0000-1100-000003000000}"/>
  </hyperlinks>
  <pageMargins left="0.70000000000000007" right="0.70000000000000007" top="0.75" bottom="0.75" header="0.30000000000000004" footer="0.30000000000000004"/>
  <pageSetup paperSize="9" fitToWidth="0" fitToHeight="0" orientation="portrait" horizontalDpi="4294967293"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2"/>
  <sheetViews>
    <sheetView showGridLines="0" showRowColHeaders="0" topLeftCell="A16" workbookViewId="0">
      <selection activeCell="F25" sqref="F25"/>
    </sheetView>
  </sheetViews>
  <sheetFormatPr defaultRowHeight="14.5"/>
  <sheetData>
    <row r="2" spans="2:16">
      <c r="B2" s="580" t="s">
        <v>456</v>
      </c>
      <c r="C2" s="580"/>
      <c r="D2" s="580"/>
      <c r="E2" s="580"/>
      <c r="F2" s="580"/>
      <c r="G2" s="580"/>
      <c r="H2" s="580"/>
      <c r="I2" s="580"/>
      <c r="J2" s="580"/>
      <c r="K2" s="580"/>
      <c r="L2" s="580"/>
      <c r="M2" s="580"/>
      <c r="N2" s="580"/>
      <c r="O2" s="118"/>
      <c r="P2" s="118"/>
    </row>
  </sheetData>
  <sheetProtection algorithmName="SHA-512" hashValue="sq7yeKRQ+OIoO8l/6g2QIuo6jJgTWO9/AIIdA9MlCs+4nKputBTF+0AdmJg5P07HiK5J4B2Nd8TuRx6gsSktmw==" saltValue="gggX6q0dRMYRTeJhpdvOSg=="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E78"/>
  <sheetViews>
    <sheetView showGridLines="0" showRowColHeaders="0" topLeftCell="A19" zoomScale="61" zoomScaleNormal="61" workbookViewId="0">
      <selection activeCell="V38" sqref="V38"/>
    </sheetView>
  </sheetViews>
  <sheetFormatPr defaultRowHeight="14.5"/>
  <cols>
    <col min="1" max="1" width="5.6328125" customWidth="1"/>
    <col min="9" max="9" width="9.54296875" customWidth="1"/>
    <col min="10" max="10" width="3" customWidth="1"/>
    <col min="11" max="11" width="10.6328125" customWidth="1"/>
    <col min="12" max="12" width="3.81640625" customWidth="1"/>
    <col min="13" max="13" width="11.54296875" customWidth="1"/>
    <col min="14" max="14" width="4.36328125" customWidth="1"/>
    <col min="19" max="19" width="21.1796875" customWidth="1"/>
    <col min="20" max="20" width="5.36328125" customWidth="1"/>
    <col min="21" max="21" width="16.7265625" customWidth="1"/>
    <col min="22" max="22" width="9.6328125" style="2" customWidth="1"/>
    <col min="23" max="23" width="3.6328125" customWidth="1"/>
    <col min="24" max="24" width="3.36328125" customWidth="1"/>
    <col min="25" max="28" width="13.1796875" customWidth="1"/>
    <col min="29" max="29" width="9.6328125" customWidth="1"/>
    <col min="30" max="30" width="12.7265625" hidden="1" customWidth="1"/>
    <col min="31" max="31" width="21.81640625" hidden="1" customWidth="1"/>
  </cols>
  <sheetData>
    <row r="1" spans="1:31" ht="18" customHeight="1">
      <c r="A1" s="499" t="s">
        <v>459</v>
      </c>
      <c r="M1" s="601" t="s">
        <v>434</v>
      </c>
      <c r="Y1" s="1"/>
      <c r="Z1" s="535"/>
    </row>
    <row r="2" spans="1:31" ht="57" customHeight="1" thickBot="1">
      <c r="A2" s="600" t="s">
        <v>461</v>
      </c>
      <c r="B2" s="600"/>
      <c r="C2" s="600"/>
      <c r="D2" s="600"/>
      <c r="E2" s="600"/>
      <c r="F2" s="600"/>
      <c r="G2" s="600"/>
      <c r="H2" s="600"/>
      <c r="I2" s="600"/>
      <c r="J2" s="600"/>
      <c r="K2" s="600"/>
      <c r="L2" s="541"/>
      <c r="M2" s="602"/>
      <c r="O2" s="605" t="s">
        <v>462</v>
      </c>
      <c r="P2" s="605"/>
      <c r="Q2" s="605"/>
      <c r="R2" s="605"/>
      <c r="S2" s="605"/>
      <c r="T2" s="537"/>
      <c r="U2" s="604" t="s">
        <v>463</v>
      </c>
      <c r="V2" s="604"/>
      <c r="Y2" s="1"/>
      <c r="Z2" s="535"/>
    </row>
    <row r="3" spans="1:31" ht="18" customHeight="1">
      <c r="O3" s="605"/>
      <c r="P3" s="605"/>
      <c r="Q3" s="605"/>
      <c r="R3" s="605"/>
      <c r="S3" s="605"/>
      <c r="T3" s="537"/>
      <c r="U3" s="604"/>
      <c r="V3" s="604"/>
      <c r="Y3" s="599" t="s">
        <v>464</v>
      </c>
      <c r="Z3" s="599"/>
    </row>
    <row r="4" spans="1:31" ht="18.5">
      <c r="A4" s="271"/>
      <c r="B4" s="588"/>
      <c r="C4" s="588"/>
      <c r="D4" s="588"/>
      <c r="E4" s="588"/>
      <c r="F4" s="588"/>
      <c r="G4" s="588"/>
      <c r="H4" s="588"/>
      <c r="I4" s="588"/>
      <c r="J4" s="588"/>
      <c r="K4" s="588"/>
      <c r="L4" s="588"/>
      <c r="M4" s="271"/>
      <c r="O4" s="237" t="s">
        <v>157</v>
      </c>
      <c r="V4" s="536" t="s">
        <v>403</v>
      </c>
      <c r="Y4" s="599"/>
      <c r="Z4" s="599"/>
    </row>
    <row r="5" spans="1:31" ht="19" thickBot="1">
      <c r="A5" s="271"/>
      <c r="B5" s="588" t="s">
        <v>460</v>
      </c>
      <c r="C5" s="588"/>
      <c r="D5" s="588"/>
      <c r="E5" s="588"/>
      <c r="F5" s="588"/>
      <c r="G5" s="588"/>
      <c r="H5" s="588"/>
      <c r="I5" s="588"/>
      <c r="J5" s="588"/>
      <c r="K5" s="588"/>
      <c r="L5" s="588"/>
      <c r="M5" s="271"/>
      <c r="O5" s="268" t="s">
        <v>158</v>
      </c>
      <c r="P5" s="247"/>
      <c r="Q5" s="247"/>
      <c r="R5" s="247"/>
      <c r="S5" s="247"/>
      <c r="T5" s="247"/>
      <c r="U5" s="247"/>
      <c r="V5" s="264"/>
      <c r="W5" s="247"/>
      <c r="Y5" s="599"/>
      <c r="Z5" s="599"/>
      <c r="AA5" s="598"/>
    </row>
    <row r="6" spans="1:31" ht="19" thickBot="1">
      <c r="A6" s="271"/>
      <c r="B6" s="350"/>
      <c r="C6" s="350"/>
      <c r="D6" s="350"/>
      <c r="E6" s="350"/>
      <c r="F6" s="350"/>
      <c r="G6" s="350"/>
      <c r="H6" s="350"/>
      <c r="I6" s="350"/>
      <c r="J6" s="350"/>
      <c r="K6" s="350"/>
      <c r="L6" s="350"/>
      <c r="M6" s="271"/>
      <c r="O6" s="247" t="s">
        <v>144</v>
      </c>
      <c r="P6" s="248"/>
      <c r="Q6" s="248"/>
      <c r="R6" s="248"/>
      <c r="S6" s="248"/>
      <c r="T6" s="248"/>
      <c r="U6" s="247"/>
      <c r="V6" s="538">
        <v>-0.05</v>
      </c>
      <c r="W6" s="247"/>
      <c r="Y6" s="599"/>
      <c r="Z6" s="599"/>
      <c r="AA6" s="598"/>
    </row>
    <row r="7" spans="1:31" ht="16" thickBot="1">
      <c r="A7" s="271"/>
      <c r="B7" s="271"/>
      <c r="C7" s="271"/>
      <c r="D7" s="271"/>
      <c r="E7" s="271"/>
      <c r="F7" s="271"/>
      <c r="G7" s="271"/>
      <c r="H7" s="271"/>
      <c r="I7" s="271"/>
      <c r="J7" s="271"/>
      <c r="K7" s="596" t="s">
        <v>222</v>
      </c>
      <c r="L7" s="596"/>
      <c r="M7" s="597" t="s">
        <v>223</v>
      </c>
      <c r="O7" s="268"/>
      <c r="P7" s="247"/>
      <c r="Q7" s="247"/>
      <c r="R7" s="247"/>
      <c r="S7" s="247"/>
      <c r="T7" s="247"/>
      <c r="U7" s="247"/>
      <c r="V7" s="264"/>
      <c r="W7" s="247"/>
      <c r="Y7" s="599"/>
      <c r="Z7" s="599"/>
    </row>
    <row r="8" spans="1:31" ht="16" thickBot="1">
      <c r="A8" s="271"/>
      <c r="B8" s="271"/>
      <c r="C8" s="271"/>
      <c r="D8" s="271"/>
      <c r="E8" s="271"/>
      <c r="F8" s="271"/>
      <c r="G8" s="271"/>
      <c r="H8" s="271"/>
      <c r="I8" s="271"/>
      <c r="J8" s="271"/>
      <c r="K8" s="596"/>
      <c r="L8" s="596"/>
      <c r="M8" s="597"/>
      <c r="O8" s="247" t="s">
        <v>262</v>
      </c>
      <c r="P8" s="247"/>
      <c r="Q8" s="247"/>
      <c r="R8" s="247"/>
      <c r="S8" s="247"/>
      <c r="T8" s="247"/>
      <c r="U8" s="247"/>
      <c r="V8" s="538">
        <v>0.1</v>
      </c>
      <c r="W8" s="247"/>
      <c r="Y8" s="599"/>
      <c r="Z8" s="599"/>
    </row>
    <row r="9" spans="1:31" ht="15" thickBot="1">
      <c r="A9" s="271"/>
      <c r="B9" s="271"/>
      <c r="C9" s="271"/>
      <c r="D9" s="271"/>
      <c r="E9" s="271"/>
      <c r="F9" s="271"/>
      <c r="G9" s="271"/>
      <c r="H9" s="271"/>
      <c r="I9" s="271"/>
      <c r="J9" s="271"/>
      <c r="K9" s="271"/>
      <c r="L9" s="271"/>
      <c r="M9" s="271"/>
      <c r="O9" s="247"/>
      <c r="P9" s="247"/>
      <c r="Q9" s="247"/>
      <c r="R9" s="247"/>
      <c r="S9" s="247"/>
      <c r="T9" s="247"/>
      <c r="U9" s="247"/>
      <c r="V9" s="264"/>
      <c r="W9" s="247"/>
      <c r="Y9" s="599"/>
      <c r="Z9" s="599"/>
    </row>
    <row r="10" spans="1:31" ht="16" thickBot="1">
      <c r="A10" s="271"/>
      <c r="B10" s="271"/>
      <c r="C10" s="271"/>
      <c r="D10" s="271"/>
      <c r="E10" s="271"/>
      <c r="F10" s="271"/>
      <c r="G10" s="271"/>
      <c r="H10" s="271"/>
      <c r="I10" s="271"/>
      <c r="J10" s="271"/>
      <c r="K10" s="271"/>
      <c r="L10" s="271"/>
      <c r="M10" s="271"/>
      <c r="O10" s="247" t="s">
        <v>143</v>
      </c>
      <c r="P10" s="247"/>
      <c r="Q10" s="247"/>
      <c r="R10" s="247"/>
      <c r="S10" s="247"/>
      <c r="T10" s="247"/>
      <c r="U10" s="247"/>
      <c r="V10" s="539" t="s">
        <v>140</v>
      </c>
      <c r="W10" s="247"/>
      <c r="Y10" s="599"/>
      <c r="Z10" s="599"/>
      <c r="AD10" t="s">
        <v>140</v>
      </c>
    </row>
    <row r="11" spans="1:31" ht="15" customHeight="1" thickBot="1">
      <c r="A11" s="271"/>
      <c r="B11" s="271"/>
      <c r="C11" s="271"/>
      <c r="D11" s="271"/>
      <c r="E11" s="271"/>
      <c r="F11" s="271"/>
      <c r="G11" s="271"/>
      <c r="H11" s="271"/>
      <c r="I11" s="271"/>
      <c r="J11" s="271"/>
      <c r="K11" s="271"/>
      <c r="L11" s="271"/>
      <c r="M11" s="271"/>
      <c r="O11" s="247"/>
      <c r="P11" s="247"/>
      <c r="Q11" s="247"/>
      <c r="R11" s="247"/>
      <c r="S11" s="247"/>
      <c r="T11" s="247"/>
      <c r="U11" s="247"/>
      <c r="V11" s="264"/>
      <c r="W11" s="247"/>
      <c r="Y11" s="536" t="s">
        <v>403</v>
      </c>
      <c r="Z11" s="536" t="s">
        <v>403</v>
      </c>
      <c r="AD11" t="s">
        <v>141</v>
      </c>
    </row>
    <row r="12" spans="1:31" ht="16" customHeight="1" thickBot="1">
      <c r="A12" s="271"/>
      <c r="B12" s="271"/>
      <c r="C12" s="271"/>
      <c r="D12" s="271"/>
      <c r="E12" s="271"/>
      <c r="F12" s="271"/>
      <c r="G12" s="271"/>
      <c r="H12" s="271"/>
      <c r="I12" s="271"/>
      <c r="J12" s="271"/>
      <c r="K12" s="271"/>
      <c r="L12" s="271"/>
      <c r="M12" s="271"/>
      <c r="O12" s="247" t="s">
        <v>451</v>
      </c>
      <c r="P12" s="247"/>
      <c r="Q12" s="247"/>
      <c r="R12" s="247"/>
      <c r="S12" s="247"/>
      <c r="T12" s="247"/>
      <c r="U12" s="247"/>
      <c r="V12" s="538">
        <v>0.5</v>
      </c>
      <c r="W12" s="247"/>
      <c r="Y12" s="587" t="s">
        <v>465</v>
      </c>
      <c r="Z12" s="587" t="s">
        <v>466</v>
      </c>
      <c r="AA12" s="9"/>
      <c r="AB12" s="9"/>
      <c r="AD12" t="s">
        <v>2</v>
      </c>
    </row>
    <row r="13" spans="1:31" ht="15" customHeight="1" thickBot="1">
      <c r="A13" s="271"/>
      <c r="B13" s="271"/>
      <c r="C13" s="271"/>
      <c r="D13" s="271"/>
      <c r="E13" s="271"/>
      <c r="F13" s="271"/>
      <c r="G13" s="271"/>
      <c r="H13" s="271"/>
      <c r="I13" s="271"/>
      <c r="J13" s="271"/>
      <c r="K13" s="271"/>
      <c r="L13" s="271"/>
      <c r="M13" s="271"/>
      <c r="O13" s="247"/>
      <c r="P13" s="247"/>
      <c r="Q13" s="247"/>
      <c r="R13" s="247"/>
      <c r="S13" s="247"/>
      <c r="T13" s="247"/>
      <c r="U13" s="247"/>
      <c r="V13" s="264"/>
      <c r="W13" s="247"/>
      <c r="Y13" s="587"/>
      <c r="Z13" s="587"/>
      <c r="AA13" s="9"/>
      <c r="AB13" s="9"/>
    </row>
    <row r="14" spans="1:31" ht="16" thickBot="1">
      <c r="A14" s="271"/>
      <c r="B14" s="271"/>
      <c r="C14" s="271"/>
      <c r="D14" s="271"/>
      <c r="E14" s="271"/>
      <c r="F14" s="271"/>
      <c r="G14" s="271"/>
      <c r="H14" s="271"/>
      <c r="I14" s="271"/>
      <c r="J14" s="271"/>
      <c r="K14" s="271"/>
      <c r="L14" s="271"/>
      <c r="M14" s="271"/>
      <c r="O14" s="247" t="s">
        <v>452</v>
      </c>
      <c r="P14" s="247"/>
      <c r="Q14" s="247"/>
      <c r="R14" s="247"/>
      <c r="S14" s="247"/>
      <c r="T14" s="247"/>
      <c r="U14" s="247"/>
      <c r="V14" s="538">
        <v>0.6</v>
      </c>
      <c r="W14" s="247"/>
      <c r="Y14" s="587"/>
      <c r="Z14" s="587"/>
      <c r="AA14" s="9"/>
      <c r="AB14" s="9"/>
      <c r="AD14" s="3">
        <v>0</v>
      </c>
      <c r="AE14" s="3">
        <v>0</v>
      </c>
    </row>
    <row r="15" spans="1:31">
      <c r="A15" s="271"/>
      <c r="B15" s="271"/>
      <c r="C15" s="271"/>
      <c r="D15" s="271"/>
      <c r="E15" s="271"/>
      <c r="F15" s="271"/>
      <c r="G15" s="271"/>
      <c r="H15" s="271"/>
      <c r="I15" s="271"/>
      <c r="J15" s="271"/>
      <c r="K15" s="271"/>
      <c r="L15" s="271"/>
      <c r="M15" s="271"/>
      <c r="Y15" s="587"/>
      <c r="Z15" s="587"/>
      <c r="AA15" s="9"/>
      <c r="AB15" s="9"/>
      <c r="AD15" s="3">
        <v>0.1</v>
      </c>
      <c r="AE15" s="3">
        <v>0.1</v>
      </c>
    </row>
    <row r="16" spans="1:31" ht="16" thickBot="1">
      <c r="A16" s="271"/>
      <c r="B16" s="271"/>
      <c r="C16" s="271"/>
      <c r="D16" s="271"/>
      <c r="E16" s="271"/>
      <c r="F16" s="271"/>
      <c r="G16" s="271"/>
      <c r="H16" s="271"/>
      <c r="I16" s="271"/>
      <c r="J16" s="271"/>
      <c r="K16" s="271"/>
      <c r="L16" s="271"/>
      <c r="M16" s="271"/>
      <c r="O16" s="591" t="s">
        <v>317</v>
      </c>
      <c r="P16" s="591"/>
      <c r="Q16" s="591"/>
      <c r="R16" s="591"/>
      <c r="S16" s="591"/>
      <c r="T16" s="591"/>
      <c r="U16" s="243"/>
      <c r="V16" s="265"/>
      <c r="W16" s="243"/>
      <c r="Y16" s="243"/>
      <c r="Z16" s="243"/>
      <c r="AD16" s="3">
        <v>0.2</v>
      </c>
      <c r="AE16" s="3">
        <v>0.2</v>
      </c>
    </row>
    <row r="17" spans="1:31" ht="16" thickBot="1">
      <c r="A17" s="271"/>
      <c r="B17" s="271"/>
      <c r="C17" s="271"/>
      <c r="D17" s="271"/>
      <c r="E17" s="271"/>
      <c r="F17" s="271"/>
      <c r="G17" s="271"/>
      <c r="H17" s="271"/>
      <c r="I17" s="271"/>
      <c r="J17" s="271"/>
      <c r="K17" s="271"/>
      <c r="L17" s="271"/>
      <c r="M17" s="271"/>
      <c r="O17" s="243" t="s">
        <v>427</v>
      </c>
      <c r="P17" s="243"/>
      <c r="Q17" s="243"/>
      <c r="R17" s="243"/>
      <c r="S17" s="243"/>
      <c r="T17" s="243"/>
      <c r="U17" s="243"/>
      <c r="V17" s="538">
        <v>0.2</v>
      </c>
      <c r="W17" s="243"/>
      <c r="Y17" s="534">
        <v>2021</v>
      </c>
      <c r="Z17" s="534">
        <v>2050</v>
      </c>
      <c r="AD17" s="3">
        <v>0.3</v>
      </c>
      <c r="AE17" s="3">
        <v>0.4</v>
      </c>
    </row>
    <row r="18" spans="1:31" ht="15" thickBot="1">
      <c r="A18" s="271"/>
      <c r="B18" s="271"/>
      <c r="C18" s="271"/>
      <c r="D18" s="271"/>
      <c r="E18" s="271"/>
      <c r="F18" s="271"/>
      <c r="G18" s="271"/>
      <c r="H18" s="271"/>
      <c r="I18" s="271"/>
      <c r="J18" s="271"/>
      <c r="K18" s="271"/>
      <c r="L18" s="271"/>
      <c r="M18" s="271"/>
      <c r="O18" s="243"/>
      <c r="P18" s="243"/>
      <c r="Q18" s="243"/>
      <c r="R18" s="243"/>
      <c r="S18" s="243"/>
      <c r="T18" s="243"/>
      <c r="U18" s="243"/>
      <c r="V18" s="265"/>
      <c r="W18" s="243"/>
      <c r="Y18" s="265"/>
      <c r="Z18" s="265"/>
      <c r="AD18" s="3">
        <v>0.4</v>
      </c>
      <c r="AE18" s="3">
        <v>0.6</v>
      </c>
    </row>
    <row r="19" spans="1:31" ht="16" customHeight="1" thickBot="1">
      <c r="A19" s="271"/>
      <c r="B19" s="271"/>
      <c r="C19" s="271"/>
      <c r="D19" s="271"/>
      <c r="E19" s="271"/>
      <c r="F19" s="271"/>
      <c r="G19" s="271"/>
      <c r="H19" s="271"/>
      <c r="I19" s="271"/>
      <c r="J19" s="271"/>
      <c r="K19" s="271"/>
      <c r="L19" s="271"/>
      <c r="M19" s="271"/>
      <c r="O19" s="592" t="s">
        <v>446</v>
      </c>
      <c r="P19" s="592"/>
      <c r="Q19" s="592"/>
      <c r="R19" s="592"/>
      <c r="S19" s="592"/>
      <c r="T19" s="592"/>
      <c r="U19" s="592"/>
      <c r="V19" s="540">
        <v>0.2</v>
      </c>
      <c r="W19" s="243"/>
      <c r="Y19" s="534">
        <v>2023</v>
      </c>
      <c r="Z19" s="534">
        <v>2050</v>
      </c>
      <c r="AD19" s="3">
        <v>0.5</v>
      </c>
      <c r="AE19" s="3">
        <v>0.8</v>
      </c>
    </row>
    <row r="20" spans="1:31">
      <c r="A20" s="271"/>
      <c r="B20" s="271"/>
      <c r="C20" s="271"/>
      <c r="D20" s="271"/>
      <c r="E20" s="271"/>
      <c r="F20" s="271"/>
      <c r="G20" s="271"/>
      <c r="H20" s="271"/>
      <c r="I20" s="271"/>
      <c r="J20" s="271"/>
      <c r="K20" s="271"/>
      <c r="L20" s="271"/>
      <c r="M20" s="271"/>
      <c r="O20" s="592"/>
      <c r="P20" s="592"/>
      <c r="Q20" s="592"/>
      <c r="R20" s="592"/>
      <c r="S20" s="592"/>
      <c r="T20" s="592"/>
      <c r="U20" s="592"/>
      <c r="V20" s="266"/>
      <c r="W20" s="243"/>
      <c r="Y20" s="265"/>
      <c r="Z20" s="265"/>
      <c r="AD20" s="3">
        <v>0.6</v>
      </c>
      <c r="AE20" s="3">
        <v>1</v>
      </c>
    </row>
    <row r="21" spans="1:31" ht="15" thickBot="1">
      <c r="A21" s="271"/>
      <c r="B21" s="271"/>
      <c r="C21" s="271"/>
      <c r="D21" s="271"/>
      <c r="E21" s="271"/>
      <c r="F21" s="271"/>
      <c r="G21" s="271"/>
      <c r="H21" s="271"/>
      <c r="I21" s="271"/>
      <c r="J21" s="271"/>
      <c r="K21" s="271"/>
      <c r="L21" s="271"/>
      <c r="M21" s="271"/>
      <c r="O21" s="243"/>
      <c r="P21" s="243"/>
      <c r="Q21" s="243"/>
      <c r="R21" s="243"/>
      <c r="S21" s="243"/>
      <c r="T21" s="243"/>
      <c r="U21" s="243"/>
      <c r="V21" s="265"/>
      <c r="W21" s="243"/>
      <c r="Y21" s="265"/>
      <c r="Z21" s="265"/>
      <c r="AD21" s="3">
        <v>0.7</v>
      </c>
    </row>
    <row r="22" spans="1:31" ht="16" thickBot="1">
      <c r="A22" s="271"/>
      <c r="B22" s="271"/>
      <c r="C22" s="271"/>
      <c r="D22" s="271"/>
      <c r="E22" s="271"/>
      <c r="F22" s="271"/>
      <c r="G22" s="271"/>
      <c r="H22" s="271"/>
      <c r="I22" s="271"/>
      <c r="J22" s="271"/>
      <c r="K22" s="271"/>
      <c r="L22" s="271"/>
      <c r="M22" s="271"/>
      <c r="O22" s="593" t="s">
        <v>428</v>
      </c>
      <c r="P22" s="593"/>
      <c r="Q22" s="593"/>
      <c r="R22" s="593"/>
      <c r="S22" s="593"/>
      <c r="T22" s="593"/>
      <c r="U22" s="593"/>
      <c r="V22" s="538">
        <v>0.3</v>
      </c>
      <c r="W22" s="243"/>
      <c r="Y22" s="534">
        <v>2025</v>
      </c>
      <c r="Z22" s="534">
        <v>2050</v>
      </c>
      <c r="AD22" s="3">
        <v>0.8</v>
      </c>
    </row>
    <row r="23" spans="1:31">
      <c r="A23" s="271"/>
      <c r="B23" s="271"/>
      <c r="C23" s="271"/>
      <c r="D23" s="271"/>
      <c r="E23" s="271"/>
      <c r="F23" s="271"/>
      <c r="G23" s="271"/>
      <c r="H23" s="271"/>
      <c r="I23" s="271"/>
      <c r="J23" s="271"/>
      <c r="K23" s="271"/>
      <c r="L23" s="271"/>
      <c r="M23" s="271"/>
      <c r="O23" s="593"/>
      <c r="P23" s="593"/>
      <c r="Q23" s="593"/>
      <c r="R23" s="593"/>
      <c r="S23" s="593"/>
      <c r="T23" s="593"/>
      <c r="U23" s="593"/>
      <c r="V23" s="265"/>
      <c r="W23" s="243"/>
      <c r="Y23" s="265"/>
      <c r="Z23" s="265"/>
      <c r="AD23" s="3">
        <v>0.9</v>
      </c>
    </row>
    <row r="24" spans="1:31" ht="15" thickBot="1">
      <c r="A24" s="271"/>
      <c r="B24" s="271"/>
      <c r="C24" s="271"/>
      <c r="D24" s="271"/>
      <c r="E24" s="271"/>
      <c r="F24" s="271"/>
      <c r="G24" s="271"/>
      <c r="H24" s="271"/>
      <c r="I24" s="271"/>
      <c r="J24" s="271"/>
      <c r="K24" s="271"/>
      <c r="L24" s="271"/>
      <c r="M24" s="271"/>
      <c r="O24" s="243"/>
      <c r="P24" s="243"/>
      <c r="Q24" s="243"/>
      <c r="R24" s="243"/>
      <c r="S24" s="243"/>
      <c r="T24" s="243"/>
      <c r="U24" s="243"/>
      <c r="V24" s="265"/>
      <c r="W24" s="243"/>
      <c r="Y24" s="265"/>
      <c r="Z24" s="265"/>
      <c r="AD24" s="3">
        <v>1</v>
      </c>
    </row>
    <row r="25" spans="1:31" ht="16" thickBot="1">
      <c r="A25" s="271"/>
      <c r="B25" s="271"/>
      <c r="C25" s="271"/>
      <c r="D25" s="271"/>
      <c r="E25" s="271"/>
      <c r="F25" s="271"/>
      <c r="G25" s="271"/>
      <c r="H25" s="271"/>
      <c r="I25" s="271"/>
      <c r="J25" s="271"/>
      <c r="K25" s="271"/>
      <c r="L25" s="271"/>
      <c r="M25" s="271"/>
      <c r="O25" s="593" t="s">
        <v>429</v>
      </c>
      <c r="P25" s="593"/>
      <c r="Q25" s="593"/>
      <c r="R25" s="593"/>
      <c r="S25" s="593"/>
      <c r="T25" s="593"/>
      <c r="U25" s="593"/>
      <c r="V25" s="538">
        <v>0.3</v>
      </c>
      <c r="W25" s="243"/>
      <c r="Y25" s="534">
        <v>2030</v>
      </c>
      <c r="Z25" s="534">
        <v>2050</v>
      </c>
    </row>
    <row r="26" spans="1:31">
      <c r="A26" s="271"/>
      <c r="B26" s="271"/>
      <c r="C26" s="271"/>
      <c r="D26" s="271"/>
      <c r="E26" s="271"/>
      <c r="F26" s="271"/>
      <c r="G26" s="271"/>
      <c r="H26" s="271"/>
      <c r="I26" s="271"/>
      <c r="J26" s="271"/>
      <c r="K26" s="271"/>
      <c r="L26" s="271"/>
      <c r="M26" s="271"/>
      <c r="O26" s="593"/>
      <c r="P26" s="593"/>
      <c r="Q26" s="593"/>
      <c r="R26" s="593"/>
      <c r="S26" s="593"/>
      <c r="T26" s="593"/>
      <c r="U26" s="593"/>
      <c r="V26" s="265"/>
      <c r="W26" s="243"/>
      <c r="Y26" s="265"/>
      <c r="Z26" s="265"/>
    </row>
    <row r="27" spans="1:31">
      <c r="A27" s="271"/>
      <c r="B27" s="271"/>
      <c r="C27" s="271"/>
      <c r="D27" s="271"/>
      <c r="E27" s="271"/>
      <c r="F27" s="271"/>
      <c r="G27" s="271"/>
      <c r="H27" s="271"/>
      <c r="I27" s="271"/>
      <c r="J27" s="271"/>
      <c r="K27" s="271"/>
      <c r="L27" s="271"/>
      <c r="M27" s="271"/>
      <c r="Y27" s="2"/>
      <c r="Z27" s="2"/>
      <c r="AD27" s="3">
        <v>0</v>
      </c>
    </row>
    <row r="28" spans="1:31" ht="16" thickBot="1">
      <c r="A28" s="271"/>
      <c r="B28" s="271"/>
      <c r="C28" s="271"/>
      <c r="D28" s="271"/>
      <c r="E28" s="271"/>
      <c r="F28" s="271"/>
      <c r="G28" s="271"/>
      <c r="H28" s="271"/>
      <c r="I28" s="271"/>
      <c r="J28" s="271"/>
      <c r="K28" s="271"/>
      <c r="L28" s="271"/>
      <c r="M28" s="271"/>
      <c r="O28" s="594" t="s">
        <v>381</v>
      </c>
      <c r="P28" s="594"/>
      <c r="Q28" s="594"/>
      <c r="R28" s="594"/>
      <c r="S28" s="594"/>
      <c r="T28" s="594"/>
      <c r="U28" s="244"/>
      <c r="V28" s="255"/>
      <c r="W28" s="244"/>
      <c r="Y28" s="255"/>
      <c r="Z28" s="255"/>
      <c r="AD28" s="3">
        <v>0.05</v>
      </c>
    </row>
    <row r="29" spans="1:31" ht="16" thickBot="1">
      <c r="A29" s="271"/>
      <c r="B29" s="271"/>
      <c r="C29" s="271"/>
      <c r="D29" s="271"/>
      <c r="E29" s="271"/>
      <c r="F29" s="271"/>
      <c r="G29" s="271"/>
      <c r="H29" s="271"/>
      <c r="I29" s="271"/>
      <c r="J29" s="271"/>
      <c r="K29" s="271"/>
      <c r="L29" s="271"/>
      <c r="M29" s="271"/>
      <c r="O29" s="595" t="s">
        <v>447</v>
      </c>
      <c r="P29" s="595"/>
      <c r="Q29" s="595"/>
      <c r="R29" s="595"/>
      <c r="S29" s="595"/>
      <c r="T29" s="595"/>
      <c r="U29" s="595"/>
      <c r="V29" s="538">
        <v>0.2</v>
      </c>
      <c r="W29" s="244"/>
      <c r="Y29" s="534">
        <v>2021</v>
      </c>
      <c r="Z29" s="534">
        <v>2050</v>
      </c>
      <c r="AD29" s="3">
        <v>0.1</v>
      </c>
    </row>
    <row r="30" spans="1:31" ht="15" thickBot="1">
      <c r="A30" s="271"/>
      <c r="B30" s="271"/>
      <c r="C30" s="271"/>
      <c r="D30" s="271"/>
      <c r="E30" s="271"/>
      <c r="F30" s="271"/>
      <c r="G30" s="271"/>
      <c r="H30" s="271"/>
      <c r="I30" s="271"/>
      <c r="J30" s="271"/>
      <c r="K30" s="271"/>
      <c r="L30" s="271"/>
      <c r="M30" s="271"/>
      <c r="O30" s="595"/>
      <c r="P30" s="595"/>
      <c r="Q30" s="595"/>
      <c r="R30" s="595"/>
      <c r="S30" s="595"/>
      <c r="T30" s="595"/>
      <c r="U30" s="595"/>
      <c r="V30" s="255"/>
      <c r="W30" s="244"/>
      <c r="Y30" s="255"/>
      <c r="Z30" s="255"/>
      <c r="AD30" s="3">
        <v>0.15</v>
      </c>
    </row>
    <row r="31" spans="1:31" ht="16" thickBot="1">
      <c r="A31" s="271"/>
      <c r="B31" s="271"/>
      <c r="C31" s="271"/>
      <c r="D31" s="271"/>
      <c r="E31" s="271"/>
      <c r="F31" s="271"/>
      <c r="G31" s="271"/>
      <c r="H31" s="271"/>
      <c r="I31" s="271"/>
      <c r="J31" s="271"/>
      <c r="K31" s="271"/>
      <c r="L31" s="271"/>
      <c r="M31" s="271"/>
      <c r="O31" s="595" t="s">
        <v>448</v>
      </c>
      <c r="P31" s="595"/>
      <c r="Q31" s="595"/>
      <c r="R31" s="595"/>
      <c r="S31" s="595"/>
      <c r="T31" s="595"/>
      <c r="U31" s="595"/>
      <c r="V31" s="538">
        <v>0.2</v>
      </c>
      <c r="W31" s="244"/>
      <c r="Y31" s="534">
        <v>2021</v>
      </c>
      <c r="Z31" s="534">
        <v>2050</v>
      </c>
      <c r="AD31" s="3">
        <v>0.2</v>
      </c>
    </row>
    <row r="32" spans="1:31" ht="15" thickBot="1">
      <c r="A32" s="271"/>
      <c r="B32" s="271"/>
      <c r="C32" s="271"/>
      <c r="D32" s="271"/>
      <c r="E32" s="271"/>
      <c r="F32" s="271"/>
      <c r="G32" s="271"/>
      <c r="H32" s="271"/>
      <c r="I32" s="271"/>
      <c r="J32" s="271"/>
      <c r="K32" s="271"/>
      <c r="L32" s="271"/>
      <c r="M32" s="271"/>
      <c r="O32" s="595"/>
      <c r="P32" s="595"/>
      <c r="Q32" s="595"/>
      <c r="R32" s="595"/>
      <c r="S32" s="595"/>
      <c r="T32" s="595"/>
      <c r="U32" s="595"/>
      <c r="V32" s="255"/>
      <c r="W32" s="244"/>
      <c r="Y32" s="255"/>
      <c r="Z32" s="255"/>
    </row>
    <row r="33" spans="1:30" ht="16" customHeight="1" thickBot="1">
      <c r="A33" s="271"/>
      <c r="B33" s="271"/>
      <c r="C33" s="271"/>
      <c r="D33" s="271"/>
      <c r="E33" s="271"/>
      <c r="F33" s="271"/>
      <c r="G33" s="271"/>
      <c r="H33" s="271"/>
      <c r="I33" s="271"/>
      <c r="J33" s="271"/>
      <c r="K33" s="271"/>
      <c r="L33" s="271"/>
      <c r="M33" s="271"/>
      <c r="O33" s="595" t="s">
        <v>449</v>
      </c>
      <c r="P33" s="595"/>
      <c r="Q33" s="595"/>
      <c r="R33" s="595"/>
      <c r="S33" s="595"/>
      <c r="T33" s="595"/>
      <c r="U33" s="595"/>
      <c r="V33" s="538">
        <v>0.2</v>
      </c>
      <c r="W33" s="244"/>
      <c r="Y33" s="534">
        <v>2021</v>
      </c>
      <c r="Z33" s="534">
        <v>2050</v>
      </c>
    </row>
    <row r="34" spans="1:30">
      <c r="A34" s="271"/>
      <c r="B34" s="271"/>
      <c r="C34" s="271"/>
      <c r="D34" s="271"/>
      <c r="E34" s="271"/>
      <c r="F34" s="271"/>
      <c r="G34" s="271"/>
      <c r="H34" s="271"/>
      <c r="I34" s="271"/>
      <c r="J34" s="271"/>
      <c r="K34" s="271"/>
      <c r="L34" s="271"/>
      <c r="M34" s="271"/>
      <c r="O34" s="595"/>
      <c r="P34" s="595"/>
      <c r="Q34" s="595"/>
      <c r="R34" s="595"/>
      <c r="S34" s="595"/>
      <c r="T34" s="595"/>
      <c r="U34" s="595"/>
      <c r="V34" s="255"/>
      <c r="W34" s="244"/>
      <c r="Y34" s="255"/>
      <c r="Z34" s="255"/>
      <c r="AD34" t="s">
        <v>166</v>
      </c>
    </row>
    <row r="35" spans="1:30">
      <c r="A35" s="271"/>
      <c r="B35" s="271"/>
      <c r="C35" s="271"/>
      <c r="D35" s="271"/>
      <c r="E35" s="271"/>
      <c r="F35" s="271"/>
      <c r="G35" s="271"/>
      <c r="H35" s="271"/>
      <c r="I35" s="271"/>
      <c r="J35" s="271"/>
      <c r="K35" s="271"/>
      <c r="L35" s="271"/>
      <c r="M35" s="271"/>
      <c r="Y35" s="2"/>
      <c r="Z35" s="2"/>
      <c r="AD35" t="s">
        <v>167</v>
      </c>
    </row>
    <row r="36" spans="1:30" ht="15" customHeight="1" thickBot="1">
      <c r="A36" s="271"/>
      <c r="B36" s="271"/>
      <c r="C36" s="271"/>
      <c r="D36" s="271"/>
      <c r="E36" s="271"/>
      <c r="F36" s="271"/>
      <c r="G36" s="271"/>
      <c r="H36" s="271"/>
      <c r="I36" s="271"/>
      <c r="J36" s="271"/>
      <c r="K36" s="271"/>
      <c r="L36" s="271"/>
      <c r="M36" s="271"/>
      <c r="O36" s="603" t="s">
        <v>382</v>
      </c>
      <c r="P36" s="603"/>
      <c r="Q36" s="603"/>
      <c r="R36" s="603"/>
      <c r="S36" s="603"/>
      <c r="T36" s="603"/>
      <c r="U36" s="245"/>
      <c r="V36" s="267"/>
      <c r="W36" s="245"/>
      <c r="Y36" s="267"/>
      <c r="Z36" s="267"/>
      <c r="AD36" t="s">
        <v>168</v>
      </c>
    </row>
    <row r="37" spans="1:30" ht="16" thickBot="1">
      <c r="A37" s="271"/>
      <c r="B37" s="271"/>
      <c r="C37" s="271"/>
      <c r="D37" s="271"/>
      <c r="E37" s="271"/>
      <c r="F37" s="271"/>
      <c r="G37" s="271"/>
      <c r="H37" s="271"/>
      <c r="I37" s="271"/>
      <c r="J37" s="271"/>
      <c r="K37" s="271"/>
      <c r="L37" s="271"/>
      <c r="M37" s="271"/>
      <c r="O37" s="589" t="s">
        <v>173</v>
      </c>
      <c r="P37" s="589"/>
      <c r="Q37" s="589"/>
      <c r="R37" s="589"/>
      <c r="S37" s="589"/>
      <c r="T37" s="589"/>
      <c r="U37" s="590"/>
      <c r="V37" s="538">
        <v>0.3</v>
      </c>
      <c r="W37" s="245"/>
      <c r="Y37" s="267"/>
      <c r="Z37" s="267"/>
    </row>
    <row r="38" spans="1:30" ht="16" thickBot="1">
      <c r="A38" s="271"/>
      <c r="B38" s="271"/>
      <c r="C38" s="271"/>
      <c r="D38" s="271"/>
      <c r="E38" s="271"/>
      <c r="F38" s="271"/>
      <c r="G38" s="271"/>
      <c r="H38" s="271"/>
      <c r="I38" s="271"/>
      <c r="J38" s="271"/>
      <c r="K38" s="271"/>
      <c r="L38" s="271"/>
      <c r="M38" s="271"/>
      <c r="O38" s="589" t="s">
        <v>426</v>
      </c>
      <c r="P38" s="589"/>
      <c r="Q38" s="589"/>
      <c r="R38" s="589"/>
      <c r="S38" s="589"/>
      <c r="T38" s="589"/>
      <c r="U38" s="589"/>
      <c r="V38" s="538">
        <v>0.9</v>
      </c>
      <c r="W38" s="245"/>
      <c r="Y38" s="534">
        <v>2021</v>
      </c>
      <c r="Z38" s="534">
        <v>2050</v>
      </c>
    </row>
    <row r="39" spans="1:30" ht="15" thickBot="1">
      <c r="A39" s="271"/>
      <c r="B39" s="271"/>
      <c r="C39" s="271"/>
      <c r="D39" s="271"/>
      <c r="E39" s="271"/>
      <c r="F39" s="271"/>
      <c r="G39" s="271"/>
      <c r="H39" s="271"/>
      <c r="I39" s="271"/>
      <c r="J39" s="271"/>
      <c r="K39" s="271"/>
      <c r="L39" s="271"/>
      <c r="M39" s="271"/>
      <c r="O39" s="245"/>
      <c r="P39" s="245"/>
      <c r="Q39" s="245"/>
      <c r="R39" s="245"/>
      <c r="S39" s="245"/>
      <c r="T39" s="245"/>
      <c r="U39" s="245"/>
      <c r="V39" s="267"/>
      <c r="W39" s="245"/>
      <c r="Y39" s="267"/>
      <c r="Z39" s="267"/>
    </row>
    <row r="40" spans="1:30" ht="16" thickBot="1">
      <c r="A40" s="271"/>
      <c r="B40" s="271"/>
      <c r="C40" s="271"/>
      <c r="D40" s="271"/>
      <c r="E40" s="271"/>
      <c r="F40" s="271"/>
      <c r="G40" s="271"/>
      <c r="H40" s="271"/>
      <c r="I40" s="271"/>
      <c r="J40" s="271"/>
      <c r="K40" s="271"/>
      <c r="L40" s="271"/>
      <c r="M40" s="271"/>
      <c r="O40" s="586" t="s">
        <v>430</v>
      </c>
      <c r="P40" s="586"/>
      <c r="Q40" s="586"/>
      <c r="R40" s="586"/>
      <c r="S40" s="586"/>
      <c r="T40" s="586"/>
      <c r="U40" s="586"/>
      <c r="V40" s="538">
        <v>0.2</v>
      </c>
      <c r="W40" s="245"/>
      <c r="Y40" s="534">
        <v>2021</v>
      </c>
      <c r="Z40" s="534">
        <v>2037</v>
      </c>
    </row>
    <row r="41" spans="1:30">
      <c r="A41" s="271"/>
      <c r="B41" s="271"/>
      <c r="C41" s="271"/>
      <c r="D41" s="271"/>
      <c r="E41" s="271"/>
      <c r="F41" s="271"/>
      <c r="G41" s="271"/>
      <c r="H41" s="271"/>
      <c r="I41" s="271"/>
      <c r="J41" s="271"/>
      <c r="K41" s="271"/>
      <c r="L41" s="271"/>
      <c r="M41" s="271"/>
      <c r="O41" s="586"/>
      <c r="P41" s="586"/>
      <c r="Q41" s="586"/>
      <c r="R41" s="586"/>
      <c r="S41" s="586"/>
      <c r="T41" s="586"/>
      <c r="U41" s="586"/>
      <c r="V41" s="267"/>
      <c r="W41" s="245"/>
      <c r="Y41" s="267"/>
      <c r="Z41" s="267"/>
    </row>
    <row r="42" spans="1:30" ht="15" thickBot="1">
      <c r="A42" s="271"/>
      <c r="B42" s="271"/>
      <c r="C42" s="271"/>
      <c r="D42" s="271"/>
      <c r="E42" s="271"/>
      <c r="F42" s="271"/>
      <c r="G42" s="271"/>
      <c r="H42" s="271"/>
      <c r="I42" s="271"/>
      <c r="J42" s="271"/>
      <c r="K42" s="271"/>
      <c r="L42" s="271"/>
      <c r="M42" s="271"/>
      <c r="O42" s="245"/>
      <c r="P42" s="245"/>
      <c r="Q42" s="245"/>
      <c r="R42" s="245"/>
      <c r="S42" s="245"/>
      <c r="T42" s="245"/>
      <c r="U42" s="245"/>
      <c r="V42" s="267"/>
      <c r="W42" s="245"/>
      <c r="Y42" s="267"/>
      <c r="Z42" s="267"/>
      <c r="AD42" s="3">
        <v>0</v>
      </c>
    </row>
    <row r="43" spans="1:30" ht="16" thickBot="1">
      <c r="A43" s="271"/>
      <c r="B43" s="271"/>
      <c r="C43" s="271"/>
      <c r="D43" s="271"/>
      <c r="E43" s="271"/>
      <c r="F43" s="271"/>
      <c r="G43" s="271"/>
      <c r="H43" s="271"/>
      <c r="I43" s="271"/>
      <c r="J43" s="271"/>
      <c r="K43" s="271"/>
      <c r="L43" s="271"/>
      <c r="M43" s="271"/>
      <c r="O43" s="586" t="s">
        <v>431</v>
      </c>
      <c r="P43" s="586"/>
      <c r="Q43" s="586"/>
      <c r="R43" s="586"/>
      <c r="S43" s="586"/>
      <c r="T43" s="586"/>
      <c r="U43" s="586"/>
      <c r="V43" s="538">
        <v>0.2</v>
      </c>
      <c r="W43" s="245"/>
      <c r="Y43" s="534">
        <v>2025</v>
      </c>
      <c r="Z43" s="534">
        <v>2050</v>
      </c>
      <c r="AD43" s="3">
        <v>0.2</v>
      </c>
    </row>
    <row r="44" spans="1:30">
      <c r="O44" s="586"/>
      <c r="P44" s="586"/>
      <c r="Q44" s="586"/>
      <c r="R44" s="586"/>
      <c r="S44" s="586"/>
      <c r="T44" s="586"/>
      <c r="U44" s="586"/>
      <c r="V44" s="267"/>
      <c r="W44" s="245"/>
      <c r="Y44" s="267"/>
      <c r="Z44" s="267"/>
      <c r="AD44" s="3">
        <v>0.4</v>
      </c>
    </row>
    <row r="45" spans="1:30" ht="15" thickBot="1">
      <c r="O45" s="355"/>
      <c r="P45" s="355"/>
      <c r="Q45" s="355"/>
      <c r="R45" s="355"/>
      <c r="S45" s="355"/>
      <c r="T45" s="355"/>
      <c r="U45" s="355"/>
      <c r="V45" s="267"/>
      <c r="W45" s="245"/>
      <c r="Y45" s="267"/>
      <c r="Z45" s="267"/>
      <c r="AD45" s="3"/>
    </row>
    <row r="46" spans="1:30" ht="16" thickBot="1">
      <c r="O46" s="245" t="s">
        <v>432</v>
      </c>
      <c r="P46" s="245"/>
      <c r="Q46" s="245"/>
      <c r="R46" s="245"/>
      <c r="S46" s="245"/>
      <c r="T46" s="245"/>
      <c r="U46" s="245"/>
      <c r="V46" s="538">
        <v>0.8</v>
      </c>
      <c r="W46" s="245"/>
      <c r="Y46" s="534">
        <v>2023</v>
      </c>
      <c r="Z46" s="534">
        <v>2050</v>
      </c>
    </row>
    <row r="47" spans="1:30">
      <c r="O47" s="245"/>
      <c r="P47" s="245"/>
      <c r="Q47" s="245"/>
      <c r="R47" s="245"/>
      <c r="S47" s="245"/>
      <c r="T47" s="245"/>
      <c r="U47" s="245"/>
      <c r="V47" s="267"/>
      <c r="W47" s="245"/>
      <c r="Y47" s="245"/>
      <c r="Z47" s="245"/>
    </row>
    <row r="49" spans="30:30">
      <c r="AD49">
        <v>2021</v>
      </c>
    </row>
    <row r="50" spans="30:30">
      <c r="AD50">
        <v>2022</v>
      </c>
    </row>
    <row r="51" spans="30:30">
      <c r="AD51">
        <v>2023</v>
      </c>
    </row>
    <row r="52" spans="30:30">
      <c r="AD52">
        <v>2024</v>
      </c>
    </row>
    <row r="53" spans="30:30">
      <c r="AD53">
        <v>2025</v>
      </c>
    </row>
    <row r="54" spans="30:30">
      <c r="AD54">
        <v>2026</v>
      </c>
    </row>
    <row r="55" spans="30:30">
      <c r="AD55">
        <v>2027</v>
      </c>
    </row>
    <row r="56" spans="30:30">
      <c r="AD56">
        <v>2028</v>
      </c>
    </row>
    <row r="57" spans="30:30">
      <c r="AD57">
        <v>2029</v>
      </c>
    </row>
    <row r="58" spans="30:30">
      <c r="AD58">
        <v>2030</v>
      </c>
    </row>
    <row r="59" spans="30:30">
      <c r="AD59">
        <v>2031</v>
      </c>
    </row>
    <row r="60" spans="30:30">
      <c r="AD60">
        <v>2032</v>
      </c>
    </row>
    <row r="61" spans="30:30">
      <c r="AD61">
        <v>2033</v>
      </c>
    </row>
    <row r="62" spans="30:30">
      <c r="AD62">
        <v>2034</v>
      </c>
    </row>
    <row r="63" spans="30:30">
      <c r="AD63">
        <v>2035</v>
      </c>
    </row>
    <row r="64" spans="30:30">
      <c r="AD64">
        <v>2036</v>
      </c>
    </row>
    <row r="65" spans="30:30">
      <c r="AD65">
        <v>2037</v>
      </c>
    </row>
    <row r="66" spans="30:30">
      <c r="AD66">
        <v>2038</v>
      </c>
    </row>
    <row r="67" spans="30:30">
      <c r="AD67">
        <v>2039</v>
      </c>
    </row>
    <row r="68" spans="30:30">
      <c r="AD68">
        <v>2040</v>
      </c>
    </row>
    <row r="69" spans="30:30">
      <c r="AD69">
        <v>2041</v>
      </c>
    </row>
    <row r="70" spans="30:30">
      <c r="AD70">
        <v>2042</v>
      </c>
    </row>
    <row r="71" spans="30:30">
      <c r="AD71">
        <v>2043</v>
      </c>
    </row>
    <row r="72" spans="30:30">
      <c r="AD72">
        <v>2044</v>
      </c>
    </row>
    <row r="73" spans="30:30">
      <c r="AD73">
        <v>2045</v>
      </c>
    </row>
    <row r="74" spans="30:30">
      <c r="AD74">
        <v>2046</v>
      </c>
    </row>
    <row r="75" spans="30:30">
      <c r="AD75">
        <v>2047</v>
      </c>
    </row>
    <row r="76" spans="30:30">
      <c r="AD76">
        <v>2048</v>
      </c>
    </row>
    <row r="77" spans="30:30">
      <c r="AD77">
        <v>2049</v>
      </c>
    </row>
    <row r="78" spans="30:30">
      <c r="AD78">
        <v>2050</v>
      </c>
    </row>
  </sheetData>
  <sheetProtection algorithmName="SHA-512" hashValue="rhv6xPxtXONWvJXFyOnN00GhL7LAYIxziiKB18b/xMPdldhgO6dcMuPkEOaT8O+5H7HAVg3EWhAWRGTpBvV6iQ==" saltValue="AhO4cREONCPC2ezIT1MUNg==" spinCount="100000" sheet="1" selectLockedCells="1"/>
  <mergeCells count="25">
    <mergeCell ref="AA5:AA6"/>
    <mergeCell ref="Y3:Z10"/>
    <mergeCell ref="A2:K2"/>
    <mergeCell ref="M1:M2"/>
    <mergeCell ref="O36:T36"/>
    <mergeCell ref="U2:V3"/>
    <mergeCell ref="O2:S3"/>
    <mergeCell ref="O31:U32"/>
    <mergeCell ref="O33:U34"/>
    <mergeCell ref="O40:U41"/>
    <mergeCell ref="O43:U44"/>
    <mergeCell ref="Y12:Y15"/>
    <mergeCell ref="Z12:Z15"/>
    <mergeCell ref="B4:L4"/>
    <mergeCell ref="O38:U38"/>
    <mergeCell ref="O37:U37"/>
    <mergeCell ref="O16:T16"/>
    <mergeCell ref="O19:U20"/>
    <mergeCell ref="O22:U23"/>
    <mergeCell ref="O25:U26"/>
    <mergeCell ref="O28:T28"/>
    <mergeCell ref="O29:U30"/>
    <mergeCell ref="K7:L8"/>
    <mergeCell ref="M7:M8"/>
    <mergeCell ref="B5:L5"/>
  </mergeCells>
  <dataValidations xWindow="1451" yWindow="490" count="10">
    <dataValidation type="list" allowBlank="1" showInputMessage="1" showErrorMessage="1" sqref="V17 V19 V22 V25" xr:uid="{00000000-0002-0000-0200-000000000000}">
      <formula1>$AD$14:$AD$18</formula1>
    </dataValidation>
    <dataValidation type="list" allowBlank="1" showInputMessage="1" showErrorMessage="1" sqref="V43" xr:uid="{00000000-0002-0000-0200-000001000000}">
      <formula1>$AD$42:$AD$45</formula1>
    </dataValidation>
    <dataValidation type="list" allowBlank="1" showInputMessage="1" showErrorMessage="1" sqref="V37:V38" xr:uid="{00000000-0002-0000-0200-000002000000}">
      <formula1>$AD$14:$AD$24</formula1>
    </dataValidation>
    <dataValidation type="list" allowBlank="1" showInputMessage="1" showErrorMessage="1" sqref="V29 V31 V33" xr:uid="{00000000-0002-0000-0200-000003000000}">
      <formula1>$AD$27:$AD$31</formula1>
    </dataValidation>
    <dataValidation type="list" allowBlank="1" showInputMessage="1" showErrorMessage="1" sqref="V20" xr:uid="{00000000-0002-0000-0200-000004000000}">
      <formula1>$AD$15:$AD$18</formula1>
    </dataValidation>
    <dataValidation type="list" allowBlank="1" showInputMessage="1" showErrorMessage="1" sqref="V12 V14" xr:uid="{00000000-0002-0000-0200-000005000000}">
      <formula1>$AD$15:$AD$23</formula1>
    </dataValidation>
    <dataValidation type="list" allowBlank="1" showInputMessage="1" showErrorMessage="1" sqref="V10" xr:uid="{00000000-0002-0000-0200-000006000000}">
      <formula1>$AD$10:$AD$12</formula1>
    </dataValidation>
    <dataValidation type="list" allowBlank="1" showInputMessage="1" showErrorMessage="1" sqref="Y17:Z17 Y38:Z38 Y22:Z22 Y25:Z25 Y29:Z29 Y40:Z40 Y43:Z43 Y19:Z19 Y46:Z46 Y31:Z31 Y33:Z33" xr:uid="{00000000-0002-0000-0200-000007000000}">
      <formula1>$AD$49:$AD$78</formula1>
    </dataValidation>
    <dataValidation type="list" allowBlank="1" showInputMessage="1" showErrorMessage="1" sqref="V46" xr:uid="{00000000-0002-0000-0200-000008000000}">
      <formula1>$AE$14:$AE$20</formula1>
    </dataValidation>
    <dataValidation type="list" allowBlank="1" showInputMessage="1" showErrorMessage="1" sqref="V40" xr:uid="{00000000-0002-0000-0200-000009000000}">
      <formula1>$AD$14:$AD$17</formula1>
    </dataValidation>
  </dataValidations>
  <pageMargins left="0.7" right="0.7" top="0.75" bottom="0.75" header="0.3" footer="0.3"/>
  <pageSetup paperSize="9" orientation="portrait"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996" r:id="rId4" name="Drop Down 516">
              <controlPr defaultSize="0" autoLine="0" autoPict="0">
                <anchor moveWithCells="1">
                  <from>
                    <xdr:col>10</xdr:col>
                    <xdr:colOff>6350</xdr:colOff>
                    <xdr:row>8</xdr:row>
                    <xdr:rowOff>152400</xdr:rowOff>
                  </from>
                  <to>
                    <xdr:col>12</xdr:col>
                    <xdr:colOff>406400</xdr:colOff>
                    <xdr:row>10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X58"/>
  <sheetViews>
    <sheetView showGridLines="0" showRowColHeaders="0" topLeftCell="B9" zoomScale="49" zoomScaleNormal="49" workbookViewId="0">
      <selection activeCell="B3" sqref="B3:P3"/>
    </sheetView>
  </sheetViews>
  <sheetFormatPr defaultRowHeight="14.5"/>
  <cols>
    <col min="1" max="1" width="8.7265625" hidden="1" customWidth="1"/>
    <col min="2" max="2" width="9.90625" customWidth="1"/>
    <col min="4" max="4" width="8.7265625" customWidth="1"/>
    <col min="11" max="11" width="5" customWidth="1"/>
    <col min="15" max="15" width="18.81640625" customWidth="1"/>
    <col min="16" max="16" width="9.36328125" customWidth="1"/>
  </cols>
  <sheetData>
    <row r="1" spans="1:16" ht="19" customHeight="1">
      <c r="B1" s="499" t="s">
        <v>467</v>
      </c>
    </row>
    <row r="2" spans="1:16" ht="51" customHeight="1">
      <c r="B2" s="606" t="s">
        <v>468</v>
      </c>
      <c r="C2" s="606"/>
      <c r="D2" s="606"/>
      <c r="E2" s="606"/>
      <c r="F2" s="606"/>
      <c r="G2" s="606"/>
      <c r="H2" s="606"/>
      <c r="I2" s="606"/>
      <c r="J2" s="606"/>
      <c r="K2" s="606"/>
      <c r="L2" s="606"/>
      <c r="M2" s="606"/>
      <c r="N2" s="606"/>
      <c r="O2" s="606"/>
      <c r="P2" s="606"/>
    </row>
    <row r="3" spans="1:16" ht="37" customHeight="1">
      <c r="B3" s="607" t="s">
        <v>469</v>
      </c>
      <c r="C3" s="607"/>
      <c r="D3" s="607"/>
      <c r="E3" s="607"/>
      <c r="F3" s="607"/>
      <c r="G3" s="607"/>
      <c r="H3" s="607"/>
      <c r="I3" s="607"/>
      <c r="J3" s="607"/>
      <c r="K3" s="607"/>
      <c r="L3" s="607"/>
      <c r="M3" s="607"/>
      <c r="N3" s="607"/>
      <c r="O3" s="607"/>
      <c r="P3" s="607"/>
    </row>
    <row r="4" spans="1:16" ht="15" thickBot="1"/>
    <row r="5" spans="1:16" ht="18.5">
      <c r="B5" s="376" t="s">
        <v>266</v>
      </c>
      <c r="C5" s="125"/>
      <c r="D5" s="125"/>
      <c r="E5" s="125"/>
      <c r="F5" s="125"/>
      <c r="G5" s="125"/>
      <c r="H5" s="125"/>
      <c r="I5" s="125"/>
      <c r="J5" s="125"/>
      <c r="K5" s="125"/>
      <c r="L5" s="379" t="s">
        <v>283</v>
      </c>
      <c r="M5" s="379"/>
      <c r="N5" s="379"/>
      <c r="O5" s="379"/>
      <c r="P5" s="380">
        <f>'1 StrategyMix for CarbonTargets'!V8</f>
        <v>0.1</v>
      </c>
    </row>
    <row r="6" spans="1:16" ht="43.5" customHeight="1">
      <c r="A6" s="420">
        <v>8</v>
      </c>
      <c r="B6" s="542" t="s">
        <v>272</v>
      </c>
      <c r="C6" s="543"/>
      <c r="D6" s="543"/>
      <c r="E6" s="543"/>
      <c r="F6" s="543"/>
      <c r="G6" s="543"/>
      <c r="H6" s="543"/>
      <c r="I6" s="543"/>
      <c r="J6" s="544" t="s">
        <v>271</v>
      </c>
      <c r="L6" s="381" t="s">
        <v>275</v>
      </c>
      <c r="M6" s="381"/>
      <c r="N6" s="381"/>
      <c r="O6" s="381"/>
      <c r="P6" s="424">
        <f>'1 StrategyMix for CarbonTargets'!V8+'2 Stress Test Strategy Mix'!A7</f>
        <v>0.2</v>
      </c>
    </row>
    <row r="7" spans="1:16" ht="15" thickBot="1">
      <c r="A7" s="421">
        <f>(A6-6)*5/100</f>
        <v>0.1</v>
      </c>
      <c r="B7" s="86"/>
      <c r="C7" s="87"/>
      <c r="D7" s="87"/>
      <c r="E7" s="87"/>
      <c r="F7" s="87"/>
      <c r="G7" s="87"/>
      <c r="H7" s="87"/>
      <c r="I7" s="87"/>
      <c r="J7" s="87"/>
      <c r="K7" s="87"/>
      <c r="L7" s="382"/>
      <c r="M7" s="382"/>
      <c r="N7" s="382"/>
      <c r="O7" s="382"/>
      <c r="P7" s="383"/>
    </row>
    <row r="8" spans="1:16">
      <c r="A8" s="421"/>
      <c r="L8" s="122"/>
      <c r="M8" s="122"/>
      <c r="N8" s="122"/>
      <c r="O8" s="122"/>
      <c r="P8" s="375"/>
    </row>
    <row r="9" spans="1:16">
      <c r="A9" s="420"/>
      <c r="L9" s="122"/>
      <c r="M9" s="122"/>
      <c r="N9" s="122"/>
      <c r="O9" s="122"/>
      <c r="P9" s="375"/>
    </row>
    <row r="10" spans="1:16" ht="15" thickBot="1">
      <c r="A10" s="420"/>
      <c r="L10" s="122"/>
      <c r="M10" s="122"/>
      <c r="N10" s="122"/>
      <c r="O10" s="122"/>
      <c r="P10" s="375"/>
    </row>
    <row r="11" spans="1:16" ht="18.5">
      <c r="A11" s="420"/>
      <c r="B11" s="376" t="s">
        <v>267</v>
      </c>
      <c r="C11" s="125"/>
      <c r="D11" s="125"/>
      <c r="E11" s="125"/>
      <c r="F11" s="125"/>
      <c r="G11" s="125"/>
      <c r="H11" s="125"/>
      <c r="I11" s="125"/>
      <c r="J11" s="125"/>
      <c r="K11" s="125"/>
      <c r="L11" s="379" t="s">
        <v>284</v>
      </c>
      <c r="M11" s="379"/>
      <c r="N11" s="379"/>
      <c r="O11" s="379"/>
      <c r="P11" s="384">
        <f>'1 StrategyMix for CarbonTargets'!Z38</f>
        <v>2050</v>
      </c>
    </row>
    <row r="12" spans="1:16" ht="44.5" customHeight="1">
      <c r="A12" s="420">
        <v>11</v>
      </c>
      <c r="B12" s="542" t="s">
        <v>273</v>
      </c>
      <c r="C12" s="543"/>
      <c r="D12" s="543"/>
      <c r="E12" s="543"/>
      <c r="F12" s="543"/>
      <c r="G12" s="543"/>
      <c r="H12" s="543"/>
      <c r="I12" s="543"/>
      <c r="J12" s="544" t="s">
        <v>274</v>
      </c>
      <c r="L12" s="381" t="s">
        <v>277</v>
      </c>
      <c r="M12" s="381"/>
      <c r="N12" s="381"/>
      <c r="O12" s="381"/>
      <c r="P12" s="411">
        <f>P11+A13</f>
        <v>2050</v>
      </c>
    </row>
    <row r="13" spans="1:16" ht="15" thickBot="1">
      <c r="A13" s="420">
        <f>-(A12-11)</f>
        <v>0</v>
      </c>
      <c r="B13" s="86"/>
      <c r="C13" s="87"/>
      <c r="D13" s="87"/>
      <c r="E13" s="87"/>
      <c r="F13" s="87"/>
      <c r="G13" s="87"/>
      <c r="H13" s="87"/>
      <c r="I13" s="87"/>
      <c r="J13" s="87"/>
      <c r="K13" s="87"/>
      <c r="L13" s="382"/>
      <c r="M13" s="382"/>
      <c r="N13" s="382"/>
      <c r="O13" s="382"/>
      <c r="P13" s="383"/>
    </row>
    <row r="14" spans="1:16">
      <c r="A14" s="420"/>
      <c r="L14" s="122"/>
      <c r="M14" s="122"/>
      <c r="N14" s="122"/>
      <c r="O14" s="122"/>
      <c r="P14" s="375"/>
    </row>
    <row r="15" spans="1:16">
      <c r="A15" s="420"/>
      <c r="L15" s="122"/>
      <c r="M15" s="122"/>
      <c r="N15" s="122"/>
      <c r="O15" s="122"/>
      <c r="P15" s="375"/>
    </row>
    <row r="16" spans="1:16" ht="15" thickBot="1">
      <c r="A16" s="420"/>
      <c r="L16" s="122"/>
      <c r="M16" s="122"/>
      <c r="N16" s="122"/>
      <c r="O16" s="122"/>
      <c r="P16" s="375"/>
    </row>
    <row r="17" spans="1:18" ht="18.5">
      <c r="A17" s="420"/>
      <c r="B17" s="376" t="s">
        <v>268</v>
      </c>
      <c r="C17" s="125"/>
      <c r="D17" s="125"/>
      <c r="E17" s="125"/>
      <c r="F17" s="125"/>
      <c r="G17" s="125"/>
      <c r="H17" s="125"/>
      <c r="I17" s="125"/>
      <c r="J17" s="125"/>
      <c r="K17" s="125"/>
      <c r="L17" s="379" t="s">
        <v>285</v>
      </c>
      <c r="M17" s="379"/>
      <c r="N17" s="379"/>
      <c r="O17" s="379"/>
      <c r="P17" s="384">
        <f>'1 StrategyMix for CarbonTargets'!Z46</f>
        <v>2050</v>
      </c>
    </row>
    <row r="18" spans="1:18" ht="45" customHeight="1">
      <c r="A18" s="420">
        <v>21</v>
      </c>
      <c r="B18" s="542" t="s">
        <v>273</v>
      </c>
      <c r="C18" s="543"/>
      <c r="D18" s="543"/>
      <c r="E18" s="543"/>
      <c r="F18" s="543"/>
      <c r="G18" s="543"/>
      <c r="H18" s="543"/>
      <c r="I18" s="543"/>
      <c r="J18" s="544" t="s">
        <v>274</v>
      </c>
      <c r="L18" s="381" t="s">
        <v>276</v>
      </c>
      <c r="M18" s="381"/>
      <c r="N18" s="381"/>
      <c r="O18" s="381"/>
      <c r="P18" s="411">
        <f>P17+A19</f>
        <v>2040</v>
      </c>
    </row>
    <row r="19" spans="1:18" ht="15" thickBot="1">
      <c r="A19" s="420">
        <f>-(A18-11)</f>
        <v>-10</v>
      </c>
      <c r="B19" s="86"/>
      <c r="C19" s="87"/>
      <c r="D19" s="87"/>
      <c r="E19" s="87"/>
      <c r="F19" s="87"/>
      <c r="G19" s="87"/>
      <c r="H19" s="87"/>
      <c r="I19" s="87"/>
      <c r="J19" s="87"/>
      <c r="K19" s="87"/>
      <c r="L19" s="382"/>
      <c r="M19" s="382"/>
      <c r="N19" s="382"/>
      <c r="O19" s="382"/>
      <c r="P19" s="383"/>
    </row>
    <row r="20" spans="1:18">
      <c r="A20" s="420"/>
      <c r="L20" s="122"/>
      <c r="M20" s="122"/>
      <c r="N20" s="122"/>
      <c r="O20" s="122"/>
      <c r="P20" s="375"/>
    </row>
    <row r="21" spans="1:18">
      <c r="A21" s="420"/>
      <c r="G21" s="118"/>
      <c r="L21" s="122"/>
      <c r="M21" s="122"/>
      <c r="N21" s="122"/>
      <c r="O21" s="122"/>
      <c r="P21" s="375"/>
    </row>
    <row r="22" spans="1:18" ht="15" thickBot="1">
      <c r="A22" s="420"/>
      <c r="L22" s="122"/>
      <c r="M22" s="122"/>
      <c r="N22" s="122"/>
      <c r="O22" s="122"/>
      <c r="P22" s="375"/>
    </row>
    <row r="23" spans="1:18" ht="18.5">
      <c r="A23" s="420"/>
      <c r="B23" s="376" t="s">
        <v>269</v>
      </c>
      <c r="C23" s="125"/>
      <c r="D23" s="125"/>
      <c r="E23" s="125"/>
      <c r="F23" s="125"/>
      <c r="G23" s="125"/>
      <c r="H23" s="125"/>
      <c r="I23" s="125"/>
      <c r="J23" s="125"/>
      <c r="K23" s="125"/>
      <c r="L23" s="379" t="s">
        <v>286</v>
      </c>
      <c r="M23" s="379"/>
      <c r="N23" s="379"/>
      <c r="O23" s="379"/>
      <c r="P23" s="384">
        <f>'1 StrategyMix for CarbonTargets'!Z19</f>
        <v>2050</v>
      </c>
    </row>
    <row r="24" spans="1:18" ht="46" customHeight="1">
      <c r="A24" s="420">
        <v>11</v>
      </c>
      <c r="B24" s="542" t="s">
        <v>273</v>
      </c>
      <c r="C24" s="543"/>
      <c r="D24" s="543"/>
      <c r="E24" s="543"/>
      <c r="F24" s="543"/>
      <c r="G24" s="543"/>
      <c r="H24" s="543"/>
      <c r="I24" s="543"/>
      <c r="J24" s="544" t="s">
        <v>274</v>
      </c>
      <c r="L24" s="381" t="s">
        <v>278</v>
      </c>
      <c r="M24" s="381"/>
      <c r="N24" s="381"/>
      <c r="O24" s="381"/>
      <c r="P24" s="411">
        <f>P23+A25</f>
        <v>2050</v>
      </c>
    </row>
    <row r="25" spans="1:18" ht="15" thickBot="1">
      <c r="A25" s="420">
        <f>-(A24-11)</f>
        <v>0</v>
      </c>
      <c r="B25" s="86"/>
      <c r="C25" s="87"/>
      <c r="D25" s="87"/>
      <c r="E25" s="87"/>
      <c r="F25" s="87"/>
      <c r="G25" s="87"/>
      <c r="H25" s="87"/>
      <c r="I25" s="87"/>
      <c r="J25" s="87"/>
      <c r="K25" s="87"/>
      <c r="L25" s="382"/>
      <c r="M25" s="382"/>
      <c r="N25" s="382"/>
      <c r="O25" s="382"/>
      <c r="P25" s="383"/>
    </row>
    <row r="26" spans="1:18">
      <c r="A26" s="420"/>
      <c r="L26" s="122"/>
      <c r="M26" s="122"/>
      <c r="N26" s="122"/>
      <c r="O26" s="122"/>
      <c r="P26" s="375"/>
      <c r="R26" s="419" t="str">
        <f>IF('Stress calculations'!AN12&lt;101,('Stress calculations'!$AN$12) &amp; "% BEV uptake is required by 2050 to reach Green Deal 90% carbon reduction target","Even with 100% BEV uptake by 2050, the Green Deal 90% carbon reduction target will not be reached")</f>
        <v>87% BEV uptake is required by 2050 to reach Green Deal 90% carbon reduction target</v>
      </c>
    </row>
    <row r="27" spans="1:18" ht="15" thickBot="1">
      <c r="A27" s="420"/>
      <c r="L27" s="122"/>
      <c r="M27" s="122"/>
      <c r="N27" s="122"/>
      <c r="O27" s="122"/>
      <c r="P27" s="375"/>
    </row>
    <row r="28" spans="1:18">
      <c r="A28" s="420"/>
      <c r="B28" s="228"/>
      <c r="C28" s="125"/>
      <c r="D28" s="125"/>
      <c r="E28" s="125"/>
      <c r="F28" s="125"/>
      <c r="G28" s="125"/>
      <c r="H28" s="125"/>
      <c r="I28" s="125"/>
      <c r="J28" s="125"/>
      <c r="K28" s="125"/>
      <c r="L28" s="379" t="s">
        <v>287</v>
      </c>
      <c r="M28" s="379"/>
      <c r="N28" s="379"/>
      <c r="O28" s="379"/>
      <c r="P28" s="384">
        <f>'1 StrategyMix for CarbonTargets'!Y46</f>
        <v>2023</v>
      </c>
    </row>
    <row r="29" spans="1:18" ht="18.5">
      <c r="A29" s="420"/>
      <c r="B29" s="377" t="s">
        <v>270</v>
      </c>
      <c r="L29" s="381" t="s">
        <v>279</v>
      </c>
      <c r="M29" s="381"/>
      <c r="N29" s="381"/>
      <c r="O29" s="381"/>
      <c r="P29" s="386">
        <f>'1 StrategyMix for CarbonTargets'!Y46-A31</f>
        <v>2023</v>
      </c>
    </row>
    <row r="30" spans="1:18" ht="24" customHeight="1">
      <c r="A30" s="420">
        <v>4</v>
      </c>
      <c r="B30" s="614" t="s">
        <v>272</v>
      </c>
      <c r="C30" s="543"/>
      <c r="D30" s="543"/>
      <c r="E30" s="543"/>
      <c r="F30" s="543"/>
      <c r="G30" s="543"/>
      <c r="H30" s="543"/>
      <c r="I30" s="543"/>
      <c r="J30" s="615" t="s">
        <v>271</v>
      </c>
      <c r="L30" s="381"/>
      <c r="M30" s="381"/>
      <c r="N30" s="381"/>
      <c r="O30" s="381"/>
      <c r="P30" s="385"/>
    </row>
    <row r="31" spans="1:18" ht="23.5" customHeight="1">
      <c r="A31" s="422">
        <f>(A30-4)</f>
        <v>0</v>
      </c>
      <c r="B31" s="614"/>
      <c r="C31" s="543"/>
      <c r="D31" s="543"/>
      <c r="E31" s="543"/>
      <c r="F31" s="543"/>
      <c r="G31" s="543"/>
      <c r="H31" s="543"/>
      <c r="I31" s="543"/>
      <c r="J31" s="615"/>
      <c r="L31" s="381" t="s">
        <v>280</v>
      </c>
      <c r="M31" s="381"/>
      <c r="N31" s="381"/>
      <c r="O31" s="381"/>
      <c r="P31" s="412">
        <f>'1 StrategyMix for CarbonTargets'!V29</f>
        <v>0.2</v>
      </c>
    </row>
    <row r="32" spans="1:18" ht="17" customHeight="1">
      <c r="A32" s="420"/>
      <c r="B32" s="89"/>
      <c r="L32" s="608" t="s">
        <v>282</v>
      </c>
      <c r="M32" s="608"/>
      <c r="N32" s="608"/>
      <c r="O32" s="608"/>
      <c r="P32" s="610">
        <f>IF(A31&gt;0,'1 StrategyMix for CarbonTargets'!V12*'2 Stress Test Strategy Mix'!A31/10*0.2,'1 StrategyMix for CarbonTargets'!V12*'2 Stress Test Strategy Mix'!A31/10*0.05)</f>
        <v>0</v>
      </c>
    </row>
    <row r="33" spans="1:16" ht="15" thickBot="1">
      <c r="A33" s="420"/>
      <c r="B33" s="86"/>
      <c r="C33" s="87"/>
      <c r="D33" s="87"/>
      <c r="E33" s="87"/>
      <c r="F33" s="87"/>
      <c r="G33" s="87"/>
      <c r="H33" s="87"/>
      <c r="I33" s="87"/>
      <c r="J33" s="87"/>
      <c r="K33" s="87"/>
      <c r="L33" s="609"/>
      <c r="M33" s="609"/>
      <c r="N33" s="609"/>
      <c r="O33" s="609"/>
      <c r="P33" s="611"/>
    </row>
    <row r="34" spans="1:16">
      <c r="A34" s="420"/>
      <c r="L34" s="378"/>
      <c r="M34" s="378"/>
      <c r="N34" s="378"/>
      <c r="O34" s="378"/>
      <c r="P34" s="375"/>
    </row>
    <row r="35" spans="1:16" ht="15" thickBot="1">
      <c r="A35" s="420"/>
      <c r="L35" s="378"/>
      <c r="M35" s="378"/>
      <c r="N35" s="378"/>
      <c r="O35" s="378"/>
      <c r="P35" s="375"/>
    </row>
    <row r="36" spans="1:16">
      <c r="A36" s="420"/>
      <c r="B36" s="228"/>
      <c r="C36" s="125"/>
      <c r="D36" s="125"/>
      <c r="E36" s="125"/>
      <c r="F36" s="125"/>
      <c r="G36" s="125"/>
      <c r="H36" s="125"/>
      <c r="I36" s="125"/>
      <c r="J36" s="125"/>
      <c r="K36" s="125"/>
      <c r="L36" s="379" t="s">
        <v>287</v>
      </c>
      <c r="M36" s="379"/>
      <c r="N36" s="379"/>
      <c r="O36" s="379"/>
      <c r="P36" s="384">
        <f>'1 StrategyMix for CarbonTargets'!Y46</f>
        <v>2023</v>
      </c>
    </row>
    <row r="37" spans="1:16" ht="18.5">
      <c r="A37" s="420"/>
      <c r="B37" s="377" t="s">
        <v>256</v>
      </c>
      <c r="L37" s="381" t="s">
        <v>279</v>
      </c>
      <c r="M37" s="381"/>
      <c r="N37" s="381"/>
      <c r="O37" s="381"/>
      <c r="P37" s="386">
        <f>'1 StrategyMix for CarbonTargets'!Y46+A39</f>
        <v>2023</v>
      </c>
    </row>
    <row r="38" spans="1:16" ht="24" customHeight="1">
      <c r="A38" s="420">
        <v>4</v>
      </c>
      <c r="B38" s="614" t="s">
        <v>272</v>
      </c>
      <c r="C38" s="543"/>
      <c r="D38" s="543"/>
      <c r="E38" s="543"/>
      <c r="F38" s="543"/>
      <c r="G38" s="543"/>
      <c r="H38" s="543"/>
      <c r="I38" s="543"/>
      <c r="J38" s="615" t="s">
        <v>271</v>
      </c>
      <c r="L38" s="381"/>
      <c r="M38" s="381"/>
      <c r="N38" s="381"/>
      <c r="O38" s="381"/>
      <c r="P38" s="385"/>
    </row>
    <row r="39" spans="1:16" ht="21.5" customHeight="1">
      <c r="A39" s="422">
        <f>(A38-4)</f>
        <v>0</v>
      </c>
      <c r="B39" s="614"/>
      <c r="C39" s="543"/>
      <c r="D39" s="543"/>
      <c r="E39" s="543"/>
      <c r="F39" s="543"/>
      <c r="G39" s="543"/>
      <c r="H39" s="543"/>
      <c r="I39" s="543"/>
      <c r="J39" s="615"/>
      <c r="L39" s="381" t="s">
        <v>280</v>
      </c>
      <c r="M39" s="381"/>
      <c r="N39" s="381"/>
      <c r="O39" s="381"/>
      <c r="P39" s="412">
        <f>'1 StrategyMix for CarbonTargets'!V29</f>
        <v>0.2</v>
      </c>
    </row>
    <row r="40" spans="1:16">
      <c r="B40" s="89"/>
      <c r="L40" s="608" t="s">
        <v>281</v>
      </c>
      <c r="M40" s="608"/>
      <c r="N40" s="608"/>
      <c r="O40" s="608"/>
      <c r="P40" s="612">
        <f>IF(A39&gt;0,'1 StrategyMix for CarbonTargets'!V12*'2 Stress Test Strategy Mix'!A39/10*0.2,'1 StrategyMix for CarbonTargets'!V12*'2 Stress Test Strategy Mix'!A39/10*0.05)</f>
        <v>0</v>
      </c>
    </row>
    <row r="41" spans="1:16" ht="15" thickBot="1">
      <c r="B41" s="86"/>
      <c r="C41" s="87"/>
      <c r="D41" s="87"/>
      <c r="E41" s="87"/>
      <c r="F41" s="87"/>
      <c r="G41" s="87"/>
      <c r="H41" s="87"/>
      <c r="I41" s="87"/>
      <c r="J41" s="87"/>
      <c r="K41" s="87"/>
      <c r="L41" s="609"/>
      <c r="M41" s="609"/>
      <c r="N41" s="609"/>
      <c r="O41" s="609"/>
      <c r="P41" s="613"/>
    </row>
    <row r="57" spans="18:24">
      <c r="R57" s="417"/>
    </row>
    <row r="58" spans="18:24">
      <c r="R58" s="419" t="str">
        <f>IF('Stress calculations'!AN11&lt;101,('Stress calculations'!$AN$11) &amp; "% BEV uptake is required by 2030 to reach Fit for 55 carbon reduction target","Even with 100% BEV uptake by 2030, the Fit for 55 carbon reduction target will not be reached")</f>
        <v>Even with 100% BEV uptake by 2030, the Fit for 55 carbon reduction target will not be reached</v>
      </c>
      <c r="S58" s="415"/>
      <c r="T58" s="415"/>
      <c r="U58" s="415"/>
      <c r="V58" s="415"/>
      <c r="W58" s="415"/>
      <c r="X58" s="415"/>
    </row>
  </sheetData>
  <sheetProtection algorithmName="SHA-512" hashValue="XCaLG6/7j9MtDYcUt1daXB7rNcIrbOMjZOL+IYfuOkSf3ptDqdeKbROn1rdHeOsKhJ2CsPhBiuzAOikcssDyWQ==" saltValue="FQoptIQYntEi6W9Oj+2knA==" spinCount="100000" sheet="1" selectLockedCells="1"/>
  <mergeCells count="10">
    <mergeCell ref="B2:P2"/>
    <mergeCell ref="B3:P3"/>
    <mergeCell ref="L32:O33"/>
    <mergeCell ref="L40:O41"/>
    <mergeCell ref="P32:P33"/>
    <mergeCell ref="P40:P41"/>
    <mergeCell ref="B30:B31"/>
    <mergeCell ref="J30:J31"/>
    <mergeCell ref="B38:B39"/>
    <mergeCell ref="J38:J39"/>
  </mergeCells>
  <pageMargins left="0.7" right="0.7" top="0.75" bottom="0.75" header="0.3" footer="0.3"/>
  <pageSetup paperSize="9" orientation="portrait"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4818" r:id="rId4" name="Scroll Bar 2">
              <controlPr locked="0" defaultSize="0" autoPict="0">
                <anchor moveWithCells="1">
                  <from>
                    <xdr:col>2</xdr:col>
                    <xdr:colOff>6350</xdr:colOff>
                    <xdr:row>5</xdr:row>
                    <xdr:rowOff>38100</xdr:rowOff>
                  </from>
                  <to>
                    <xdr:col>8</xdr:col>
                    <xdr:colOff>596900</xdr:colOff>
                    <xdr:row>5</xdr:row>
                    <xdr:rowOff>533400</xdr:rowOff>
                  </to>
                </anchor>
              </controlPr>
            </control>
          </mc:Choice>
        </mc:AlternateContent>
        <mc:AlternateContent xmlns:mc="http://schemas.openxmlformats.org/markup-compatibility/2006">
          <mc:Choice Requires="x14">
            <control shapeId="34819" r:id="rId5" name="Scroll Bar 3">
              <controlPr locked="0" defaultSize="0" autoPict="0">
                <anchor moveWithCells="1">
                  <from>
                    <xdr:col>2</xdr:col>
                    <xdr:colOff>0</xdr:colOff>
                    <xdr:row>11</xdr:row>
                    <xdr:rowOff>38100</xdr:rowOff>
                  </from>
                  <to>
                    <xdr:col>8</xdr:col>
                    <xdr:colOff>571500</xdr:colOff>
                    <xdr:row>11</xdr:row>
                    <xdr:rowOff>546100</xdr:rowOff>
                  </to>
                </anchor>
              </controlPr>
            </control>
          </mc:Choice>
        </mc:AlternateContent>
        <mc:AlternateContent xmlns:mc="http://schemas.openxmlformats.org/markup-compatibility/2006">
          <mc:Choice Requires="x14">
            <control shapeId="34820" r:id="rId6" name="Scroll Bar 4">
              <controlPr locked="0" defaultSize="0" autoPict="0">
                <anchor moveWithCells="1">
                  <from>
                    <xdr:col>1</xdr:col>
                    <xdr:colOff>654050</xdr:colOff>
                    <xdr:row>17</xdr:row>
                    <xdr:rowOff>44450</xdr:rowOff>
                  </from>
                  <to>
                    <xdr:col>8</xdr:col>
                    <xdr:colOff>577850</xdr:colOff>
                    <xdr:row>17</xdr:row>
                    <xdr:rowOff>533400</xdr:rowOff>
                  </to>
                </anchor>
              </controlPr>
            </control>
          </mc:Choice>
        </mc:AlternateContent>
        <mc:AlternateContent xmlns:mc="http://schemas.openxmlformats.org/markup-compatibility/2006">
          <mc:Choice Requires="x14">
            <control shapeId="34821" r:id="rId7" name="Scroll Bar 5">
              <controlPr locked="0" defaultSize="0" autoPict="0">
                <anchor moveWithCells="1">
                  <from>
                    <xdr:col>2</xdr:col>
                    <xdr:colOff>6350</xdr:colOff>
                    <xdr:row>23</xdr:row>
                    <xdr:rowOff>38100</xdr:rowOff>
                  </from>
                  <to>
                    <xdr:col>9</xdr:col>
                    <xdr:colOff>0</xdr:colOff>
                    <xdr:row>23</xdr:row>
                    <xdr:rowOff>558800</xdr:rowOff>
                  </to>
                </anchor>
              </controlPr>
            </control>
          </mc:Choice>
        </mc:AlternateContent>
        <mc:AlternateContent xmlns:mc="http://schemas.openxmlformats.org/markup-compatibility/2006">
          <mc:Choice Requires="x14">
            <control shapeId="34822" r:id="rId8" name="Scroll Bar 6">
              <controlPr locked="0" defaultSize="0" autoPict="0">
                <anchor moveWithCells="1">
                  <from>
                    <xdr:col>1</xdr:col>
                    <xdr:colOff>679450</xdr:colOff>
                    <xdr:row>29</xdr:row>
                    <xdr:rowOff>50800</xdr:rowOff>
                  </from>
                  <to>
                    <xdr:col>8</xdr:col>
                    <xdr:colOff>596900</xdr:colOff>
                    <xdr:row>30</xdr:row>
                    <xdr:rowOff>254000</xdr:rowOff>
                  </to>
                </anchor>
              </controlPr>
            </control>
          </mc:Choice>
        </mc:AlternateContent>
        <mc:AlternateContent xmlns:mc="http://schemas.openxmlformats.org/markup-compatibility/2006">
          <mc:Choice Requires="x14">
            <control shapeId="34823" r:id="rId9" name="Scroll Bar 7">
              <controlPr locked="0" defaultSize="0" autoPict="0">
                <anchor moveWithCells="1">
                  <from>
                    <xdr:col>2</xdr:col>
                    <xdr:colOff>0</xdr:colOff>
                    <xdr:row>37</xdr:row>
                    <xdr:rowOff>50800</xdr:rowOff>
                  </from>
                  <to>
                    <xdr:col>9</xdr:col>
                    <xdr:colOff>0</xdr:colOff>
                    <xdr:row>38</xdr:row>
                    <xdr:rowOff>241300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1:AN79"/>
  <sheetViews>
    <sheetView showGridLines="0" showRowColHeaders="0" zoomScale="40" zoomScaleNormal="40" workbookViewId="0">
      <selection activeCell="AA41" sqref="AA41"/>
    </sheetView>
  </sheetViews>
  <sheetFormatPr defaultRowHeight="14.5"/>
  <cols>
    <col min="1" max="1" width="3.453125" customWidth="1"/>
    <col min="13" max="13" width="4.08984375" customWidth="1"/>
    <col min="20" max="20" width="22.90625" customWidth="1"/>
    <col min="22" max="22" width="3.08984375" customWidth="1"/>
    <col min="23" max="23" width="10.54296875" customWidth="1"/>
    <col min="24" max="24" width="11.6328125" customWidth="1"/>
    <col min="25" max="25" width="4.08984375" customWidth="1"/>
    <col min="26" max="26" width="14.1796875" customWidth="1"/>
    <col min="27" max="27" width="13.08984375" customWidth="1"/>
    <col min="28" max="28" width="6.08984375" customWidth="1"/>
    <col min="31" max="31" width="0" hidden="1" customWidth="1"/>
  </cols>
  <sheetData>
    <row r="1" spans="2:40" ht="25.5" customHeight="1">
      <c r="B1" s="556" t="s">
        <v>470</v>
      </c>
    </row>
    <row r="2" spans="2:40" ht="74.5" customHeight="1">
      <c r="B2" s="616" t="s">
        <v>471</v>
      </c>
      <c r="C2" s="616"/>
      <c r="D2" s="616"/>
      <c r="E2" s="616"/>
      <c r="F2" s="616"/>
      <c r="G2" s="616"/>
      <c r="H2" s="616"/>
      <c r="I2" s="616"/>
      <c r="J2" s="616"/>
      <c r="K2" s="616"/>
      <c r="L2" s="616"/>
      <c r="M2" s="616"/>
      <c r="N2" s="616"/>
      <c r="O2" s="616"/>
      <c r="P2" s="616"/>
      <c r="Q2" s="616"/>
      <c r="R2" s="616"/>
      <c r="S2" s="616"/>
      <c r="T2" s="616"/>
      <c r="U2" s="616"/>
      <c r="V2" s="616"/>
      <c r="W2" s="616"/>
      <c r="X2" s="616"/>
    </row>
    <row r="3" spans="2:40" ht="16.5" customHeight="1">
      <c r="B3" s="103"/>
      <c r="C3" s="238"/>
      <c r="D3" s="238"/>
      <c r="E3" s="238"/>
      <c r="F3" s="238"/>
      <c r="G3" s="238"/>
      <c r="H3" s="238"/>
      <c r="I3" s="238"/>
      <c r="J3" s="238"/>
      <c r="K3" s="238"/>
      <c r="L3" s="238"/>
      <c r="M3" s="238"/>
      <c r="N3" s="238"/>
      <c r="O3" s="238"/>
      <c r="P3" s="238"/>
      <c r="Q3" s="238"/>
      <c r="R3" s="238"/>
      <c r="S3" s="238"/>
      <c r="T3" s="238"/>
      <c r="U3" s="238"/>
      <c r="Z3" s="622" t="s">
        <v>443</v>
      </c>
      <c r="AA3" s="622"/>
      <c r="AC3" s="616" t="s">
        <v>476</v>
      </c>
      <c r="AD3" s="616"/>
      <c r="AE3" s="616"/>
      <c r="AF3" s="616"/>
      <c r="AG3" s="616"/>
      <c r="AH3" s="616"/>
      <c r="AI3" s="616"/>
      <c r="AJ3" s="616"/>
      <c r="AK3" s="616"/>
      <c r="AL3" s="616"/>
      <c r="AM3" s="616"/>
      <c r="AN3" s="616"/>
    </row>
    <row r="4" spans="2:40" ht="113.5" customHeight="1">
      <c r="B4" s="616" t="s">
        <v>472</v>
      </c>
      <c r="C4" s="616"/>
      <c r="D4" s="616"/>
      <c r="E4" s="616"/>
      <c r="F4" s="616"/>
      <c r="G4" s="616"/>
      <c r="H4" s="616"/>
      <c r="I4" s="616"/>
      <c r="J4" s="616"/>
      <c r="K4" s="616"/>
      <c r="L4" s="616"/>
      <c r="M4" s="238"/>
      <c r="N4" s="238"/>
      <c r="O4" s="238"/>
      <c r="P4" s="238"/>
      <c r="Q4" s="238"/>
      <c r="R4" s="238"/>
      <c r="S4" s="238"/>
      <c r="T4" s="238"/>
      <c r="U4" s="238"/>
      <c r="Z4" s="622"/>
      <c r="AA4" s="622"/>
      <c r="AC4" s="616"/>
      <c r="AD4" s="616"/>
      <c r="AE4" s="616"/>
      <c r="AF4" s="616"/>
      <c r="AG4" s="616"/>
      <c r="AH4" s="616"/>
      <c r="AI4" s="616"/>
      <c r="AJ4" s="616"/>
      <c r="AK4" s="616"/>
      <c r="AL4" s="616"/>
      <c r="AM4" s="616"/>
      <c r="AN4" s="616"/>
    </row>
    <row r="5" spans="2:40" ht="23.5" customHeight="1">
      <c r="Z5" s="557" t="s">
        <v>403</v>
      </c>
      <c r="AA5" s="557" t="s">
        <v>403</v>
      </c>
    </row>
    <row r="6" spans="2:40">
      <c r="W6" s="617" t="s">
        <v>465</v>
      </c>
      <c r="X6" s="617" t="s">
        <v>473</v>
      </c>
      <c r="Z6" s="623" t="s">
        <v>474</v>
      </c>
      <c r="AA6" s="623" t="s">
        <v>475</v>
      </c>
      <c r="AE6">
        <v>2021</v>
      </c>
    </row>
    <row r="7" spans="2:40">
      <c r="W7" s="617"/>
      <c r="X7" s="617"/>
      <c r="Z7" s="623"/>
      <c r="AA7" s="623"/>
      <c r="AE7">
        <v>2022</v>
      </c>
    </row>
    <row r="8" spans="2:40">
      <c r="W8" s="617"/>
      <c r="X8" s="617"/>
      <c r="Z8" s="623"/>
      <c r="AA8" s="623"/>
      <c r="AE8">
        <v>2023</v>
      </c>
    </row>
    <row r="9" spans="2:40">
      <c r="W9" s="617"/>
      <c r="X9" s="617"/>
      <c r="Z9" s="623"/>
      <c r="AA9" s="623"/>
      <c r="AE9">
        <v>2024</v>
      </c>
    </row>
    <row r="10" spans="2:40" ht="16" thickBot="1">
      <c r="N10" s="591" t="s">
        <v>317</v>
      </c>
      <c r="O10" s="591"/>
      <c r="P10" s="591"/>
      <c r="Q10" s="591"/>
      <c r="R10" s="591"/>
      <c r="S10" s="591"/>
      <c r="T10" s="243"/>
      <c r="U10" s="265"/>
      <c r="W10" s="243"/>
      <c r="X10" s="243"/>
      <c r="Z10" s="243"/>
      <c r="AA10" s="243"/>
      <c r="AE10">
        <v>2025</v>
      </c>
    </row>
    <row r="11" spans="2:40" ht="16" thickBot="1">
      <c r="N11" s="243" t="s">
        <v>436</v>
      </c>
      <c r="O11" s="243"/>
      <c r="P11" s="243"/>
      <c r="Q11" s="243"/>
      <c r="R11" s="243"/>
      <c r="S11" s="243"/>
      <c r="T11" s="243"/>
      <c r="U11" s="551">
        <f>'1 StrategyMix for CarbonTargets'!V17</f>
        <v>0.2</v>
      </c>
      <c r="W11" s="553">
        <f>'1 StrategyMix for CarbonTargets'!Y17</f>
        <v>2021</v>
      </c>
      <c r="X11" s="553">
        <f>'1 StrategyMix for CarbonTargets'!Z17</f>
        <v>2050</v>
      </c>
      <c r="Z11" s="554"/>
      <c r="AA11" s="555"/>
      <c r="AE11">
        <v>2026</v>
      </c>
    </row>
    <row r="12" spans="2:40" ht="15" thickBot="1">
      <c r="N12" s="243"/>
      <c r="O12" s="243"/>
      <c r="P12" s="243"/>
      <c r="Q12" s="243"/>
      <c r="R12" s="243"/>
      <c r="S12" s="243"/>
      <c r="T12" s="243"/>
      <c r="U12" s="265"/>
      <c r="W12" s="265"/>
      <c r="X12" s="265"/>
      <c r="Z12" s="243"/>
      <c r="AA12" s="243"/>
      <c r="AE12">
        <v>2027</v>
      </c>
    </row>
    <row r="13" spans="2:40" ht="16" thickBot="1">
      <c r="N13" s="592" t="s">
        <v>445</v>
      </c>
      <c r="O13" s="592"/>
      <c r="P13" s="592"/>
      <c r="Q13" s="592"/>
      <c r="R13" s="592"/>
      <c r="S13" s="592"/>
      <c r="T13" s="592"/>
      <c r="U13" s="552">
        <f>'1 StrategyMix for CarbonTargets'!V19</f>
        <v>0.2</v>
      </c>
      <c r="W13" s="553">
        <f>'1 StrategyMix for CarbonTargets'!Y19</f>
        <v>2023</v>
      </c>
      <c r="X13" s="553">
        <f>'1 StrategyMix for CarbonTargets'!Z19</f>
        <v>2050</v>
      </c>
      <c r="Z13" s="554"/>
      <c r="AA13" s="555"/>
      <c r="AE13">
        <v>2028</v>
      </c>
    </row>
    <row r="14" spans="2:40">
      <c r="N14" s="592"/>
      <c r="O14" s="592"/>
      <c r="P14" s="592"/>
      <c r="Q14" s="592"/>
      <c r="R14" s="592"/>
      <c r="S14" s="592"/>
      <c r="T14" s="592"/>
      <c r="U14" s="266"/>
      <c r="W14" s="265"/>
      <c r="X14" s="265"/>
      <c r="Z14" s="243"/>
      <c r="AA14" s="243"/>
      <c r="AE14">
        <v>2029</v>
      </c>
    </row>
    <row r="15" spans="2:40" ht="15" thickBot="1">
      <c r="N15" s="243"/>
      <c r="O15" s="243"/>
      <c r="P15" s="243"/>
      <c r="Q15" s="243"/>
      <c r="R15" s="243"/>
      <c r="S15" s="243"/>
      <c r="T15" s="243"/>
      <c r="U15" s="265"/>
      <c r="W15" s="265"/>
      <c r="X15" s="265"/>
      <c r="Z15" s="243"/>
      <c r="AA15" s="243"/>
      <c r="AE15">
        <v>2030</v>
      </c>
    </row>
    <row r="16" spans="2:40" ht="16" thickBot="1">
      <c r="N16" s="593" t="s">
        <v>437</v>
      </c>
      <c r="O16" s="593"/>
      <c r="P16" s="593"/>
      <c r="Q16" s="593"/>
      <c r="R16" s="593"/>
      <c r="S16" s="593"/>
      <c r="T16" s="593"/>
      <c r="U16" s="551">
        <f>'1 StrategyMix for CarbonTargets'!V22</f>
        <v>0.3</v>
      </c>
      <c r="W16" s="553">
        <f>'1 StrategyMix for CarbonTargets'!Y22</f>
        <v>2025</v>
      </c>
      <c r="X16" s="553">
        <f>'1 StrategyMix for CarbonTargets'!Z22</f>
        <v>2050</v>
      </c>
      <c r="Z16" s="554"/>
      <c r="AA16" s="555"/>
      <c r="AE16">
        <v>2031</v>
      </c>
    </row>
    <row r="17" spans="14:31">
      <c r="N17" s="593"/>
      <c r="O17" s="593"/>
      <c r="P17" s="593"/>
      <c r="Q17" s="593"/>
      <c r="R17" s="593"/>
      <c r="S17" s="593"/>
      <c r="T17" s="593"/>
      <c r="U17" s="265"/>
      <c r="W17" s="265"/>
      <c r="X17" s="265"/>
      <c r="Z17" s="243"/>
      <c r="AA17" s="243"/>
      <c r="AE17">
        <v>2032</v>
      </c>
    </row>
    <row r="18" spans="14:31" ht="15" thickBot="1">
      <c r="N18" s="243"/>
      <c r="O18" s="243"/>
      <c r="P18" s="243"/>
      <c r="Q18" s="243"/>
      <c r="R18" s="243"/>
      <c r="S18" s="243"/>
      <c r="T18" s="243"/>
      <c r="U18" s="265"/>
      <c r="W18" s="265"/>
      <c r="X18" s="265"/>
      <c r="Z18" s="243"/>
      <c r="AA18" s="243"/>
      <c r="AE18">
        <v>2033</v>
      </c>
    </row>
    <row r="19" spans="14:31" ht="16" thickBot="1">
      <c r="N19" s="618" t="s">
        <v>438</v>
      </c>
      <c r="O19" s="618"/>
      <c r="P19" s="618"/>
      <c r="Q19" s="618"/>
      <c r="R19" s="618"/>
      <c r="S19" s="618"/>
      <c r="T19" s="618"/>
      <c r="U19" s="551">
        <f>'1 StrategyMix for CarbonTargets'!V25</f>
        <v>0.3</v>
      </c>
      <c r="W19" s="553">
        <f>'1 StrategyMix for CarbonTargets'!Y25</f>
        <v>2030</v>
      </c>
      <c r="X19" s="553">
        <f>'1 StrategyMix for CarbonTargets'!Z25</f>
        <v>2050</v>
      </c>
      <c r="Z19" s="554">
        <v>2021</v>
      </c>
      <c r="AA19" s="555">
        <v>2035</v>
      </c>
      <c r="AE19">
        <v>2034</v>
      </c>
    </row>
    <row r="20" spans="14:31">
      <c r="N20" s="618"/>
      <c r="O20" s="618"/>
      <c r="P20" s="618"/>
      <c r="Q20" s="618"/>
      <c r="R20" s="618"/>
      <c r="S20" s="618"/>
      <c r="T20" s="618"/>
      <c r="U20" s="265"/>
      <c r="W20" s="265"/>
      <c r="X20" s="265"/>
      <c r="Z20" s="243"/>
      <c r="AA20" s="243"/>
      <c r="AE20">
        <v>2035</v>
      </c>
    </row>
    <row r="21" spans="14:31">
      <c r="U21" s="2"/>
      <c r="W21" s="2"/>
      <c r="X21" s="2"/>
      <c r="AE21">
        <v>2036</v>
      </c>
    </row>
    <row r="22" spans="14:31" ht="16" thickBot="1">
      <c r="N22" s="594" t="s">
        <v>381</v>
      </c>
      <c r="O22" s="594"/>
      <c r="P22" s="594"/>
      <c r="Q22" s="594"/>
      <c r="R22" s="594"/>
      <c r="S22" s="594"/>
      <c r="T22" s="244"/>
      <c r="U22" s="255"/>
      <c r="W22" s="255"/>
      <c r="X22" s="255"/>
      <c r="Z22" s="244"/>
      <c r="AA22" s="244"/>
      <c r="AE22">
        <v>2037</v>
      </c>
    </row>
    <row r="23" spans="14:31" ht="16" thickBot="1">
      <c r="N23" s="595" t="s">
        <v>447</v>
      </c>
      <c r="O23" s="595"/>
      <c r="P23" s="595"/>
      <c r="Q23" s="595"/>
      <c r="R23" s="595"/>
      <c r="S23" s="595"/>
      <c r="T23" s="595"/>
      <c r="U23" s="551">
        <f>'1 StrategyMix for CarbonTargets'!V29</f>
        <v>0.2</v>
      </c>
      <c r="W23" s="553">
        <f>'1 StrategyMix for CarbonTargets'!Y29</f>
        <v>2021</v>
      </c>
      <c r="X23" s="553">
        <f>'1 StrategyMix for CarbonTargets'!Z29</f>
        <v>2050</v>
      </c>
      <c r="Z23" s="554"/>
      <c r="AA23" s="555"/>
      <c r="AE23">
        <v>2038</v>
      </c>
    </row>
    <row r="24" spans="14:31" ht="15" thickBot="1">
      <c r="N24" s="595"/>
      <c r="O24" s="595"/>
      <c r="P24" s="595"/>
      <c r="Q24" s="595"/>
      <c r="R24" s="595"/>
      <c r="S24" s="595"/>
      <c r="T24" s="595"/>
      <c r="U24" s="255"/>
      <c r="W24" s="255"/>
      <c r="X24" s="255"/>
      <c r="Z24" s="244"/>
      <c r="AA24" s="244"/>
      <c r="AE24">
        <v>2039</v>
      </c>
    </row>
    <row r="25" spans="14:31" ht="16" thickBot="1">
      <c r="N25" s="595" t="s">
        <v>448</v>
      </c>
      <c r="O25" s="595"/>
      <c r="P25" s="595"/>
      <c r="Q25" s="595"/>
      <c r="R25" s="595"/>
      <c r="S25" s="595"/>
      <c r="T25" s="595"/>
      <c r="U25" s="551">
        <f>'1 StrategyMix for CarbonTargets'!V31</f>
        <v>0.2</v>
      </c>
      <c r="W25" s="553">
        <f>'1 StrategyMix for CarbonTargets'!Y31</f>
        <v>2021</v>
      </c>
      <c r="X25" s="553">
        <f>'1 StrategyMix for CarbonTargets'!Z31</f>
        <v>2050</v>
      </c>
      <c r="Z25" s="554"/>
      <c r="AA25" s="555"/>
      <c r="AE25">
        <v>2040</v>
      </c>
    </row>
    <row r="26" spans="14:31" ht="15" thickBot="1">
      <c r="N26" s="595"/>
      <c r="O26" s="595"/>
      <c r="P26" s="595"/>
      <c r="Q26" s="595"/>
      <c r="R26" s="595"/>
      <c r="S26" s="595"/>
      <c r="T26" s="595"/>
      <c r="U26" s="255"/>
      <c r="W26" s="255"/>
      <c r="X26" s="255"/>
      <c r="Z26" s="244"/>
      <c r="AA26" s="244"/>
      <c r="AE26">
        <v>2041</v>
      </c>
    </row>
    <row r="27" spans="14:31" ht="16" thickBot="1">
      <c r="N27" s="595" t="s">
        <v>449</v>
      </c>
      <c r="O27" s="595"/>
      <c r="P27" s="595"/>
      <c r="Q27" s="595"/>
      <c r="R27" s="595"/>
      <c r="S27" s="595"/>
      <c r="T27" s="595"/>
      <c r="U27" s="551">
        <f>'1 StrategyMix for CarbonTargets'!V33</f>
        <v>0.2</v>
      </c>
      <c r="W27" s="553">
        <f>'1 StrategyMix for CarbonTargets'!Y33</f>
        <v>2021</v>
      </c>
      <c r="X27" s="553">
        <f>'1 StrategyMix for CarbonTargets'!Z33</f>
        <v>2050</v>
      </c>
      <c r="Z27" s="554"/>
      <c r="AA27" s="555">
        <v>2035</v>
      </c>
      <c r="AE27">
        <v>2042</v>
      </c>
    </row>
    <row r="28" spans="14:31">
      <c r="N28" s="595"/>
      <c r="O28" s="595"/>
      <c r="P28" s="595"/>
      <c r="Q28" s="595"/>
      <c r="R28" s="595"/>
      <c r="S28" s="595"/>
      <c r="T28" s="595"/>
      <c r="U28" s="255"/>
      <c r="W28" s="255"/>
      <c r="X28" s="255"/>
      <c r="Z28" s="244"/>
      <c r="AA28" s="244"/>
      <c r="AE28">
        <v>2043</v>
      </c>
    </row>
    <row r="29" spans="14:31">
      <c r="U29" s="2"/>
      <c r="W29" s="2"/>
      <c r="X29" s="2"/>
      <c r="AE29">
        <v>2044</v>
      </c>
    </row>
    <row r="30" spans="14:31" ht="16" thickBot="1">
      <c r="N30" s="603" t="s">
        <v>382</v>
      </c>
      <c r="O30" s="603"/>
      <c r="P30" s="603"/>
      <c r="Q30" s="603"/>
      <c r="R30" s="603"/>
      <c r="S30" s="603"/>
      <c r="T30" s="245"/>
      <c r="U30" s="267"/>
      <c r="W30" s="267"/>
      <c r="X30" s="267"/>
      <c r="Z30" s="245"/>
      <c r="AA30" s="245"/>
      <c r="AE30">
        <v>2045</v>
      </c>
    </row>
    <row r="31" spans="14:31" ht="16" thickBot="1">
      <c r="N31" s="589" t="s">
        <v>439</v>
      </c>
      <c r="O31" s="589"/>
      <c r="P31" s="589"/>
      <c r="Q31" s="589"/>
      <c r="R31" s="589"/>
      <c r="S31" s="589"/>
      <c r="T31" s="590"/>
      <c r="U31" s="551">
        <f>'1 StrategyMix for CarbonTargets'!V37</f>
        <v>0.3</v>
      </c>
      <c r="W31" s="267"/>
      <c r="X31" s="267"/>
      <c r="Z31" s="245"/>
      <c r="AA31" s="245"/>
      <c r="AE31">
        <v>2046</v>
      </c>
    </row>
    <row r="32" spans="14:31" ht="16" thickBot="1">
      <c r="N32" s="589" t="s">
        <v>440</v>
      </c>
      <c r="O32" s="589"/>
      <c r="P32" s="589"/>
      <c r="Q32" s="589"/>
      <c r="R32" s="589"/>
      <c r="S32" s="589"/>
      <c r="T32" s="589"/>
      <c r="U32" s="551">
        <f>'1 StrategyMix for CarbonTargets'!V38</f>
        <v>0.9</v>
      </c>
      <c r="W32" s="553">
        <f>'1 StrategyMix for CarbonTargets'!Y38</f>
        <v>2021</v>
      </c>
      <c r="X32" s="553">
        <f>'1 StrategyMix for CarbonTargets'!Z38</f>
        <v>2050</v>
      </c>
      <c r="Z32" s="554"/>
      <c r="AA32" s="555"/>
      <c r="AE32">
        <v>2047</v>
      </c>
    </row>
    <row r="33" spans="3:31" ht="15" thickBot="1">
      <c r="N33" s="245"/>
      <c r="O33" s="245"/>
      <c r="P33" s="245"/>
      <c r="Q33" s="245"/>
      <c r="R33" s="245"/>
      <c r="S33" s="245"/>
      <c r="T33" s="245"/>
      <c r="U33" s="267"/>
      <c r="W33" s="267"/>
      <c r="X33" s="267"/>
      <c r="Z33" s="245"/>
      <c r="AA33" s="245"/>
      <c r="AE33">
        <v>2048</v>
      </c>
    </row>
    <row r="34" spans="3:31" ht="16" thickBot="1">
      <c r="N34" s="586" t="s">
        <v>441</v>
      </c>
      <c r="O34" s="586"/>
      <c r="P34" s="586"/>
      <c r="Q34" s="586"/>
      <c r="R34" s="586"/>
      <c r="S34" s="586"/>
      <c r="T34" s="586"/>
      <c r="U34" s="551">
        <f>'1 StrategyMix for CarbonTargets'!V40</f>
        <v>0.2</v>
      </c>
      <c r="W34" s="553">
        <f>'1 StrategyMix for CarbonTargets'!Y40</f>
        <v>2021</v>
      </c>
      <c r="X34" s="553">
        <f>'1 StrategyMix for CarbonTargets'!Z40</f>
        <v>2037</v>
      </c>
      <c r="Z34" s="554"/>
      <c r="AA34" s="555"/>
      <c r="AE34">
        <v>2049</v>
      </c>
    </row>
    <row r="35" spans="3:31">
      <c r="N35" s="586"/>
      <c r="O35" s="586"/>
      <c r="P35" s="586"/>
      <c r="Q35" s="586"/>
      <c r="R35" s="586"/>
      <c r="S35" s="586"/>
      <c r="T35" s="586"/>
      <c r="U35" s="267"/>
      <c r="W35" s="267"/>
      <c r="X35" s="267"/>
      <c r="Z35" s="245"/>
      <c r="AA35" s="245"/>
      <c r="AE35">
        <v>2050</v>
      </c>
    </row>
    <row r="36" spans="3:31" ht="15" thickBot="1">
      <c r="N36" s="245"/>
      <c r="O36" s="245"/>
      <c r="P36" s="245"/>
      <c r="Q36" s="245"/>
      <c r="R36" s="245"/>
      <c r="S36" s="245"/>
      <c r="T36" s="245"/>
      <c r="U36" s="267"/>
      <c r="W36" s="267"/>
      <c r="X36" s="267"/>
      <c r="Z36" s="245"/>
      <c r="AA36" s="245"/>
    </row>
    <row r="37" spans="3:31" ht="16" thickBot="1">
      <c r="N37" s="586" t="s">
        <v>442</v>
      </c>
      <c r="O37" s="586"/>
      <c r="P37" s="586"/>
      <c r="Q37" s="586"/>
      <c r="R37" s="586"/>
      <c r="S37" s="586"/>
      <c r="T37" s="586"/>
      <c r="U37" s="551">
        <f>'1 StrategyMix for CarbonTargets'!V43</f>
        <v>0.2</v>
      </c>
      <c r="W37" s="553">
        <f>'1 StrategyMix for CarbonTargets'!Y43</f>
        <v>2025</v>
      </c>
      <c r="X37" s="553">
        <f>'1 StrategyMix for CarbonTargets'!Z43</f>
        <v>2050</v>
      </c>
      <c r="Z37" s="554"/>
      <c r="AA37" s="555"/>
    </row>
    <row r="38" spans="3:31">
      <c r="N38" s="586"/>
      <c r="O38" s="586"/>
      <c r="P38" s="586"/>
      <c r="Q38" s="586"/>
      <c r="R38" s="586"/>
      <c r="S38" s="586"/>
      <c r="T38" s="586"/>
      <c r="U38" s="267"/>
      <c r="W38" s="267"/>
      <c r="X38" s="267"/>
      <c r="Z38" s="245"/>
      <c r="AA38" s="245"/>
    </row>
    <row r="39" spans="3:31" ht="15" thickBot="1">
      <c r="N39" s="355"/>
      <c r="O39" s="355"/>
      <c r="P39" s="355"/>
      <c r="Q39" s="355"/>
      <c r="R39" s="355"/>
      <c r="S39" s="355"/>
      <c r="T39" s="355"/>
      <c r="U39" s="267"/>
      <c r="W39" s="267"/>
      <c r="X39" s="267"/>
      <c r="Z39" s="245"/>
      <c r="AA39" s="245"/>
    </row>
    <row r="40" spans="3:31" ht="16" thickBot="1">
      <c r="N40" s="245" t="s">
        <v>432</v>
      </c>
      <c r="O40" s="245"/>
      <c r="P40" s="245"/>
      <c r="Q40" s="245"/>
      <c r="R40" s="245"/>
      <c r="S40" s="245"/>
      <c r="T40" s="245"/>
      <c r="U40" s="551">
        <f>'1 StrategyMix for CarbonTargets'!V46</f>
        <v>0.8</v>
      </c>
      <c r="W40" s="553">
        <f>'1 StrategyMix for CarbonTargets'!Y46</f>
        <v>2023</v>
      </c>
      <c r="X40" s="553">
        <f>'1 StrategyMix for CarbonTargets'!Z46</f>
        <v>2050</v>
      </c>
      <c r="Z40" s="554"/>
      <c r="AA40" s="555">
        <v>2040</v>
      </c>
    </row>
    <row r="41" spans="3:31" ht="14.5" customHeight="1">
      <c r="D41" s="1"/>
      <c r="E41" s="1"/>
      <c r="F41" s="1"/>
      <c r="G41" s="1"/>
      <c r="H41" s="1"/>
      <c r="I41" s="1"/>
      <c r="N41" s="245"/>
      <c r="O41" s="245"/>
      <c r="P41" s="245"/>
      <c r="Q41" s="245"/>
      <c r="R41" s="245"/>
      <c r="S41" s="245"/>
      <c r="T41" s="245"/>
      <c r="U41" s="267"/>
      <c r="W41" s="245"/>
      <c r="X41" s="245"/>
      <c r="Z41" s="245"/>
      <c r="AA41" s="245"/>
    </row>
    <row r="42" spans="3:31" ht="14.5" customHeight="1">
      <c r="D42" s="1"/>
      <c r="E42" s="1"/>
      <c r="F42" s="1"/>
      <c r="G42" s="1"/>
      <c r="H42" s="1"/>
      <c r="I42" s="1"/>
      <c r="J42" s="1"/>
      <c r="K42" s="1"/>
      <c r="L42" s="1"/>
    </row>
    <row r="43" spans="3:31" ht="14.5" customHeight="1">
      <c r="D43" s="1"/>
      <c r="E43" s="1"/>
      <c r="F43" s="1"/>
      <c r="G43" s="1"/>
      <c r="H43" s="1"/>
      <c r="I43" s="1"/>
      <c r="J43" s="1"/>
      <c r="K43" s="1"/>
      <c r="L43" s="1"/>
    </row>
    <row r="44" spans="3:31" ht="15" thickBot="1">
      <c r="D44" s="1"/>
      <c r="E44" s="1"/>
      <c r="F44" s="1"/>
      <c r="G44" s="1"/>
      <c r="H44" s="1"/>
      <c r="I44" s="1"/>
      <c r="J44" s="1"/>
      <c r="K44" s="1"/>
      <c r="L44" s="1"/>
    </row>
    <row r="45" spans="3:31">
      <c r="C45" s="631" t="s">
        <v>257</v>
      </c>
      <c r="D45" s="627" t="s">
        <v>450</v>
      </c>
      <c r="E45" s="627"/>
      <c r="F45" s="627"/>
      <c r="G45" s="627"/>
      <c r="H45" s="627"/>
      <c r="I45" s="628"/>
    </row>
    <row r="46" spans="3:31">
      <c r="C46" s="632"/>
      <c r="D46" s="629"/>
      <c r="E46" s="629"/>
      <c r="F46" s="629"/>
      <c r="G46" s="629"/>
      <c r="H46" s="629"/>
      <c r="I46" s="630"/>
    </row>
    <row r="47" spans="3:31">
      <c r="C47" s="632"/>
      <c r="D47" s="629"/>
      <c r="E47" s="629"/>
      <c r="F47" s="629"/>
      <c r="G47" s="629"/>
      <c r="H47" s="629"/>
      <c r="I47" s="630"/>
    </row>
    <row r="48" spans="3:31">
      <c r="C48" s="632"/>
      <c r="D48" s="629"/>
      <c r="E48" s="629"/>
      <c r="F48" s="629"/>
      <c r="G48" s="629"/>
      <c r="H48" s="629"/>
      <c r="I48" s="630"/>
    </row>
    <row r="49" spans="3:9">
      <c r="C49" s="561">
        <v>2020</v>
      </c>
      <c r="D49" s="619">
        <f>'Timing calculations'!FM126-'Timing calculations'!FA126</f>
        <v>0</v>
      </c>
      <c r="E49" s="620"/>
      <c r="F49" s="620"/>
      <c r="G49" s="620"/>
      <c r="H49" s="620"/>
      <c r="I49" s="621"/>
    </row>
    <row r="50" spans="3:9">
      <c r="C50" s="561">
        <v>2021</v>
      </c>
      <c r="D50" s="619">
        <f>'Timing calculations'!FM127-'Timing calculations'!FA127</f>
        <v>-2.1267698936119572E-2</v>
      </c>
      <c r="E50" s="620"/>
      <c r="F50" s="620"/>
      <c r="G50" s="620"/>
      <c r="H50" s="620"/>
      <c r="I50" s="621"/>
    </row>
    <row r="51" spans="3:9">
      <c r="C51" s="561">
        <v>2022</v>
      </c>
      <c r="D51" s="619">
        <f>'Timing calculations'!FM128-'Timing calculations'!FA128</f>
        <v>-4.2322337178569813E-2</v>
      </c>
      <c r="E51" s="620"/>
      <c r="F51" s="620"/>
      <c r="G51" s="620"/>
      <c r="H51" s="620"/>
      <c r="I51" s="621"/>
    </row>
    <row r="52" spans="3:9">
      <c r="C52" s="561">
        <v>2023</v>
      </c>
      <c r="D52" s="619">
        <f>'Timing calculations'!FM129-'Timing calculations'!FA129</f>
        <v>-5.7022251397605084E-2</v>
      </c>
      <c r="E52" s="620"/>
      <c r="F52" s="620"/>
      <c r="G52" s="620"/>
      <c r="H52" s="620"/>
      <c r="I52" s="621"/>
    </row>
    <row r="53" spans="3:9">
      <c r="C53" s="561">
        <v>2024</v>
      </c>
      <c r="D53" s="619">
        <f>'Timing calculations'!FM130-'Timing calculations'!FA130</f>
        <v>-7.0899212274395884E-2</v>
      </c>
      <c r="E53" s="620"/>
      <c r="F53" s="620"/>
      <c r="G53" s="620"/>
      <c r="H53" s="620"/>
      <c r="I53" s="621"/>
    </row>
    <row r="54" spans="3:9">
      <c r="C54" s="561">
        <v>2025</v>
      </c>
      <c r="D54" s="619">
        <f>'Timing calculations'!FM131-'Timing calculations'!FA131</f>
        <v>-8.3067793495417042E-2</v>
      </c>
      <c r="E54" s="620"/>
      <c r="F54" s="620"/>
      <c r="G54" s="620"/>
      <c r="H54" s="620"/>
      <c r="I54" s="621"/>
    </row>
    <row r="55" spans="3:9">
      <c r="C55" s="561">
        <v>2026</v>
      </c>
      <c r="D55" s="619">
        <f>'Timing calculations'!FM132-'Timing calculations'!FA132</f>
        <v>-9.4396414900990155E-2</v>
      </c>
      <c r="E55" s="620"/>
      <c r="F55" s="620"/>
      <c r="G55" s="620"/>
      <c r="H55" s="620"/>
      <c r="I55" s="621"/>
    </row>
    <row r="56" spans="3:9">
      <c r="C56" s="561">
        <v>2027</v>
      </c>
      <c r="D56" s="619">
        <f>'Timing calculations'!FM133-'Timing calculations'!FA133</f>
        <v>-0.10487945786989739</v>
      </c>
      <c r="E56" s="620"/>
      <c r="F56" s="620"/>
      <c r="G56" s="620"/>
      <c r="H56" s="620"/>
      <c r="I56" s="621"/>
    </row>
    <row r="57" spans="3:9">
      <c r="C57" s="561">
        <v>2028</v>
      </c>
      <c r="D57" s="619">
        <f>'Timing calculations'!FM134-'Timing calculations'!FA134</f>
        <v>-0.11451130378092134</v>
      </c>
      <c r="E57" s="620"/>
      <c r="F57" s="620"/>
      <c r="G57" s="620"/>
      <c r="H57" s="620"/>
      <c r="I57" s="621"/>
    </row>
    <row r="58" spans="3:9">
      <c r="C58" s="561">
        <v>2029</v>
      </c>
      <c r="D58" s="619">
        <f>'Timing calculations'!FM135-'Timing calculations'!FA135</f>
        <v>-0.12328633401284511</v>
      </c>
      <c r="E58" s="620"/>
      <c r="F58" s="620"/>
      <c r="G58" s="620"/>
      <c r="H58" s="620"/>
      <c r="I58" s="621"/>
    </row>
    <row r="59" spans="3:9">
      <c r="C59" s="561">
        <v>2030</v>
      </c>
      <c r="D59" s="619">
        <f>'Timing calculations'!FM136-'Timing calculations'!FA136</f>
        <v>-0.13119892994445026</v>
      </c>
      <c r="E59" s="620"/>
      <c r="F59" s="620"/>
      <c r="G59" s="620"/>
      <c r="H59" s="620"/>
      <c r="I59" s="621"/>
    </row>
    <row r="60" spans="3:9">
      <c r="C60" s="561">
        <v>2031</v>
      </c>
      <c r="D60" s="619">
        <f>'Timing calculations'!FM137-'Timing calculations'!FA137</f>
        <v>-0.1057434729545208</v>
      </c>
      <c r="E60" s="620"/>
      <c r="F60" s="620"/>
      <c r="G60" s="620"/>
      <c r="H60" s="620"/>
      <c r="I60" s="621"/>
    </row>
    <row r="61" spans="3:9">
      <c r="C61" s="561">
        <v>2032</v>
      </c>
      <c r="D61" s="619">
        <f>'Timing calculations'!FM138-'Timing calculations'!FA138</f>
        <v>-7.9414344421838257E-2</v>
      </c>
      <c r="E61" s="620"/>
      <c r="F61" s="620"/>
      <c r="G61" s="620"/>
      <c r="H61" s="620"/>
      <c r="I61" s="621"/>
    </row>
    <row r="62" spans="3:9">
      <c r="C62" s="561">
        <v>2033</v>
      </c>
      <c r="D62" s="619">
        <f>'Timing calculations'!FM139-'Timing calculations'!FA139</f>
        <v>-5.2205925725185343E-2</v>
      </c>
      <c r="E62" s="620"/>
      <c r="F62" s="620"/>
      <c r="G62" s="620"/>
      <c r="H62" s="620"/>
      <c r="I62" s="621"/>
    </row>
    <row r="63" spans="3:9">
      <c r="C63" s="561">
        <v>2034</v>
      </c>
      <c r="D63" s="619">
        <f>'Timing calculations'!FM140-'Timing calculations'!FA140</f>
        <v>-2.4112598243345218E-2</v>
      </c>
      <c r="E63" s="620"/>
      <c r="F63" s="620"/>
      <c r="G63" s="620"/>
      <c r="H63" s="620"/>
      <c r="I63" s="621"/>
    </row>
    <row r="64" spans="3:9">
      <c r="C64" s="561">
        <v>2035</v>
      </c>
      <c r="D64" s="619">
        <f>'Timing calculations'!FM141-'Timing calculations'!FA141</f>
        <v>4.8712566448996242E-3</v>
      </c>
      <c r="E64" s="620"/>
      <c r="F64" s="620"/>
      <c r="G64" s="620"/>
      <c r="H64" s="620"/>
      <c r="I64" s="621"/>
    </row>
    <row r="65" spans="3:9">
      <c r="C65" s="561">
        <v>2036</v>
      </c>
      <c r="D65" s="619">
        <f>'Timing calculations'!FM142-'Timing calculations'!FA142</f>
        <v>1.2788873132543066E-2</v>
      </c>
      <c r="E65" s="620"/>
      <c r="F65" s="620"/>
      <c r="G65" s="620"/>
      <c r="H65" s="620"/>
      <c r="I65" s="621"/>
    </row>
    <row r="66" spans="3:9">
      <c r="C66" s="561">
        <v>2037</v>
      </c>
      <c r="D66" s="619">
        <f>'Timing calculations'!FM143-'Timing calculations'!FA143</f>
        <v>2.1469251835936287E-2</v>
      </c>
      <c r="E66" s="620"/>
      <c r="F66" s="620"/>
      <c r="G66" s="620"/>
      <c r="H66" s="620"/>
      <c r="I66" s="621"/>
    </row>
    <row r="67" spans="3:9">
      <c r="C67" s="561">
        <v>2038</v>
      </c>
      <c r="D67" s="619">
        <f>'Timing calculations'!FM144-'Timing calculations'!FA144</f>
        <v>2.5627987846884803E-2</v>
      </c>
      <c r="E67" s="620"/>
      <c r="F67" s="620"/>
      <c r="G67" s="620"/>
      <c r="H67" s="620"/>
      <c r="I67" s="621"/>
    </row>
    <row r="68" spans="3:9">
      <c r="C68" s="561">
        <v>2039</v>
      </c>
      <c r="D68" s="619">
        <f>'Timing calculations'!FM145-'Timing calculations'!FA145</f>
        <v>3.0527452727782567E-2</v>
      </c>
      <c r="E68" s="620"/>
      <c r="F68" s="620"/>
      <c r="G68" s="620"/>
      <c r="H68" s="620"/>
      <c r="I68" s="621"/>
    </row>
    <row r="69" spans="3:9">
      <c r="C69" s="561">
        <v>2040</v>
      </c>
      <c r="D69" s="619">
        <f>'Timing calculations'!FM146-'Timing calculations'!FA146</f>
        <v>3.6173265099846419E-2</v>
      </c>
      <c r="E69" s="620"/>
      <c r="F69" s="620"/>
      <c r="G69" s="620"/>
      <c r="H69" s="620"/>
      <c r="I69" s="621"/>
    </row>
    <row r="70" spans="3:9">
      <c r="C70" s="561">
        <v>2041</v>
      </c>
      <c r="D70" s="619">
        <f>'Timing calculations'!FM147-'Timing calculations'!FA147</f>
        <v>3.1989282617637893E-2</v>
      </c>
      <c r="E70" s="620"/>
      <c r="F70" s="620"/>
      <c r="G70" s="620"/>
      <c r="H70" s="620"/>
      <c r="I70" s="621"/>
    </row>
    <row r="71" spans="3:9">
      <c r="C71" s="561">
        <v>2042</v>
      </c>
      <c r="D71" s="619">
        <f>'Timing calculations'!FM148-'Timing calculations'!FA148</f>
        <v>2.6822576608984544E-2</v>
      </c>
      <c r="E71" s="620"/>
      <c r="F71" s="620"/>
      <c r="G71" s="620"/>
      <c r="H71" s="620"/>
      <c r="I71" s="621"/>
    </row>
    <row r="72" spans="3:9">
      <c r="C72" s="561">
        <v>2043</v>
      </c>
      <c r="D72" s="619">
        <f>'Timing calculations'!FM149-'Timing calculations'!FA149</f>
        <v>2.1737805897414642E-2</v>
      </c>
      <c r="E72" s="620"/>
      <c r="F72" s="620"/>
      <c r="G72" s="620"/>
      <c r="H72" s="620"/>
      <c r="I72" s="621"/>
    </row>
    <row r="73" spans="3:9">
      <c r="C73" s="561">
        <v>2044</v>
      </c>
      <c r="D73" s="619">
        <f>'Timing calculations'!FM150-'Timing calculations'!FA150</f>
        <v>1.6734970482929407E-2</v>
      </c>
      <c r="E73" s="620"/>
      <c r="F73" s="620"/>
      <c r="G73" s="620"/>
      <c r="H73" s="620"/>
      <c r="I73" s="621"/>
    </row>
    <row r="74" spans="3:9">
      <c r="C74" s="561">
        <v>2045</v>
      </c>
      <c r="D74" s="619">
        <f>'Timing calculations'!FM151-'Timing calculations'!FA151</f>
        <v>1.1814070365528062E-2</v>
      </c>
      <c r="E74" s="620"/>
      <c r="F74" s="620"/>
      <c r="G74" s="620"/>
      <c r="H74" s="620"/>
      <c r="I74" s="621"/>
    </row>
    <row r="75" spans="3:9">
      <c r="C75" s="561">
        <v>2046</v>
      </c>
      <c r="D75" s="619">
        <f>'Timing calculations'!FM152-'Timing calculations'!FA152</f>
        <v>6.9751055452108301E-3</v>
      </c>
      <c r="E75" s="620"/>
      <c r="F75" s="620"/>
      <c r="G75" s="620"/>
      <c r="H75" s="620"/>
      <c r="I75" s="621"/>
    </row>
    <row r="76" spans="3:9">
      <c r="C76" s="561">
        <v>2047</v>
      </c>
      <c r="D76" s="619">
        <f>'Timing calculations'!FM153-'Timing calculations'!FA153</f>
        <v>2.2180760219775997E-3</v>
      </c>
      <c r="E76" s="620"/>
      <c r="F76" s="620"/>
      <c r="G76" s="620"/>
      <c r="H76" s="620"/>
      <c r="I76" s="621"/>
    </row>
    <row r="77" spans="3:9">
      <c r="C77" s="561">
        <v>2048</v>
      </c>
      <c r="D77" s="619">
        <f>'Timing calculations'!FM154-'Timing calculations'!FA154</f>
        <v>-2.4570182041717403E-3</v>
      </c>
      <c r="E77" s="620"/>
      <c r="F77" s="620"/>
      <c r="G77" s="620"/>
      <c r="H77" s="620"/>
      <c r="I77" s="621"/>
    </row>
    <row r="78" spans="3:9">
      <c r="C78" s="561">
        <v>2049</v>
      </c>
      <c r="D78" s="619">
        <f>'Timing calculations'!FM155-'Timing calculations'!FA155</f>
        <v>-7.0501771332359686E-3</v>
      </c>
      <c r="E78" s="620"/>
      <c r="F78" s="620"/>
      <c r="G78" s="620"/>
      <c r="H78" s="620"/>
      <c r="I78" s="621"/>
    </row>
    <row r="79" spans="3:9" ht="15" thickBot="1">
      <c r="C79" s="562">
        <v>2050</v>
      </c>
      <c r="D79" s="624">
        <f>'Timing calculations'!FM156-'Timing calculations'!FA156</f>
        <v>-1.1561400765217306E-2</v>
      </c>
      <c r="E79" s="625"/>
      <c r="F79" s="625"/>
      <c r="G79" s="625"/>
      <c r="H79" s="625"/>
      <c r="I79" s="626"/>
    </row>
  </sheetData>
  <sheetProtection algorithmName="SHA-512" hashValue="UCwRsGMDTgYhi1j1jV0gYSOb4yWbU4rHmBTy/SGiHA4PCO30i5OWdf0gyOB/q3Nppt6O5OkCy1upDQX/Gnw83A==" saltValue="HZi9xJQe85f7ESDOOcH1kQ==" spinCount="100000" sheet="1" objects="1" scenarios="1"/>
  <mergeCells count="54">
    <mergeCell ref="D78:I78"/>
    <mergeCell ref="D79:I79"/>
    <mergeCell ref="D75:I75"/>
    <mergeCell ref="D45:I48"/>
    <mergeCell ref="C45:C48"/>
    <mergeCell ref="D76:I76"/>
    <mergeCell ref="D77:I77"/>
    <mergeCell ref="D70:I70"/>
    <mergeCell ref="D71:I71"/>
    <mergeCell ref="D72:I72"/>
    <mergeCell ref="D73:I73"/>
    <mergeCell ref="D74:I74"/>
    <mergeCell ref="D65:I65"/>
    <mergeCell ref="D66:I66"/>
    <mergeCell ref="D67:I67"/>
    <mergeCell ref="D68:I68"/>
    <mergeCell ref="D69:I69"/>
    <mergeCell ref="D60:I60"/>
    <mergeCell ref="D61:I61"/>
    <mergeCell ref="D62:I62"/>
    <mergeCell ref="D63:I63"/>
    <mergeCell ref="D64:I64"/>
    <mergeCell ref="D55:I55"/>
    <mergeCell ref="D56:I56"/>
    <mergeCell ref="D57:I57"/>
    <mergeCell ref="D58:I58"/>
    <mergeCell ref="D59:I59"/>
    <mergeCell ref="D50:I50"/>
    <mergeCell ref="D51:I51"/>
    <mergeCell ref="D52:I52"/>
    <mergeCell ref="D53:I53"/>
    <mergeCell ref="D54:I54"/>
    <mergeCell ref="D49:I49"/>
    <mergeCell ref="AC3:AN4"/>
    <mergeCell ref="Z3:AA4"/>
    <mergeCell ref="X6:X9"/>
    <mergeCell ref="Z6:Z9"/>
    <mergeCell ref="AA6:AA9"/>
    <mergeCell ref="B4:L4"/>
    <mergeCell ref="N34:T35"/>
    <mergeCell ref="N37:T38"/>
    <mergeCell ref="B2:X2"/>
    <mergeCell ref="N30:S30"/>
    <mergeCell ref="N31:T31"/>
    <mergeCell ref="N32:T32"/>
    <mergeCell ref="N25:T26"/>
    <mergeCell ref="N27:T28"/>
    <mergeCell ref="W6:W9"/>
    <mergeCell ref="N10:S10"/>
    <mergeCell ref="N13:T14"/>
    <mergeCell ref="N16:T17"/>
    <mergeCell ref="N19:T20"/>
    <mergeCell ref="N22:S22"/>
    <mergeCell ref="N23:T24"/>
  </mergeCells>
  <dataValidations count="2">
    <dataValidation type="list" allowBlank="1" showInputMessage="1" showErrorMessage="1" sqref="U14" xr:uid="{00000000-0002-0000-0400-000000000000}">
      <formula1>$Z$17:$Z$20</formula1>
    </dataValidation>
    <dataValidation type="list" allowBlank="1" showInputMessage="1" showErrorMessage="1" sqref="Z11:AA11 Z40:AA40 Z37:AA37 Z34:AA34 Z32:AA32 Z23:AA23 Z19:AA19 Z16:AA16 Z13:AA13 Z25:AA25 Z27:AA27" xr:uid="{00000000-0002-0000-0400-000001000000}">
      <formula1>$AE$6:$AE$35</formula1>
    </dataValidation>
  </dataValidations>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AT95"/>
  <sheetViews>
    <sheetView showGridLines="0" showRowColHeaders="0" tabSelected="1" topLeftCell="A7" zoomScale="59" zoomScaleNormal="59" workbookViewId="0">
      <selection activeCell="E5" sqref="E5"/>
    </sheetView>
  </sheetViews>
  <sheetFormatPr defaultRowHeight="14.5"/>
  <cols>
    <col min="1" max="1" width="28.7265625" customWidth="1"/>
    <col min="2" max="2" width="4.7265625" customWidth="1"/>
    <col min="3" max="3" width="15.26953125" customWidth="1"/>
    <col min="4" max="4" width="28.08984375" customWidth="1"/>
    <col min="5" max="5" width="16.54296875" customWidth="1"/>
    <col min="6" max="6" width="16.08984375" customWidth="1"/>
    <col min="7" max="7" width="17.7265625" customWidth="1"/>
    <col min="8" max="8" width="16.7265625" customWidth="1"/>
    <col min="9" max="9" width="18.1796875" customWidth="1"/>
    <col min="10" max="10" width="25.08984375" customWidth="1"/>
    <col min="11" max="11" width="16" customWidth="1"/>
    <col min="12" max="12" width="14.08984375" customWidth="1"/>
    <col min="13" max="13" width="13.1796875" customWidth="1"/>
    <col min="14" max="14" width="15.54296875" customWidth="1"/>
    <col min="15" max="15" width="16.36328125" customWidth="1"/>
    <col min="16" max="16" width="20.1796875" customWidth="1"/>
    <col min="17" max="17" width="26.7265625" customWidth="1"/>
    <col min="18" max="18" width="15.54296875" customWidth="1"/>
    <col min="19" max="19" width="16.6328125" customWidth="1"/>
    <col min="20" max="20" width="16.7265625" customWidth="1"/>
    <col min="21" max="21" width="19.81640625" customWidth="1"/>
    <col min="22" max="22" width="25.1796875" customWidth="1"/>
    <col min="23" max="23" width="16.36328125" customWidth="1"/>
    <col min="24" max="24" width="16.54296875" customWidth="1"/>
    <col min="25" max="25" width="15.6328125" customWidth="1"/>
  </cols>
  <sheetData>
    <row r="1" spans="1:46" ht="15.5">
      <c r="C1" s="498" t="s">
        <v>477</v>
      </c>
      <c r="D1" s="417"/>
      <c r="E1" s="417"/>
      <c r="F1" s="425"/>
      <c r="G1" s="425"/>
      <c r="H1" s="425"/>
    </row>
    <row r="2" spans="1:46" ht="81" customHeight="1">
      <c r="C2" s="651" t="s">
        <v>478</v>
      </c>
      <c r="D2" s="651"/>
      <c r="E2" s="651"/>
      <c r="F2" s="651"/>
      <c r="G2" s="651"/>
      <c r="H2" s="651"/>
      <c r="I2" s="651"/>
      <c r="J2" s="651"/>
      <c r="K2" s="651"/>
      <c r="L2" s="651"/>
      <c r="M2" s="651"/>
    </row>
    <row r="3" spans="1:46" ht="15" thickBot="1">
      <c r="C3" s="1"/>
      <c r="D3" s="425"/>
      <c r="E3" s="425"/>
      <c r="F3" s="425"/>
      <c r="G3" s="425"/>
      <c r="H3" s="425"/>
    </row>
    <row r="4" spans="1:46" ht="63.5" customHeight="1">
      <c r="C4" s="649" t="s">
        <v>433</v>
      </c>
      <c r="D4" s="425"/>
      <c r="E4" s="646" t="s">
        <v>378</v>
      </c>
      <c r="F4" s="646"/>
      <c r="G4" s="646"/>
      <c r="H4" s="646"/>
      <c r="I4" s="646"/>
      <c r="J4" s="646"/>
      <c r="K4" s="646"/>
      <c r="L4" s="646"/>
      <c r="M4" s="646"/>
      <c r="Q4" s="633" t="s">
        <v>391</v>
      </c>
      <c r="R4" s="633"/>
      <c r="S4" s="633"/>
      <c r="T4" s="633"/>
      <c r="U4" s="633"/>
      <c r="V4" s="633"/>
      <c r="W4" s="633"/>
      <c r="X4" s="633"/>
      <c r="Y4" s="633"/>
    </row>
    <row r="5" spans="1:46" ht="23.5" customHeight="1" thickBot="1">
      <c r="C5" s="650"/>
      <c r="D5" s="1"/>
      <c r="E5" s="1"/>
      <c r="F5" s="438"/>
      <c r="G5" s="438"/>
      <c r="H5" s="438"/>
      <c r="I5" s="438"/>
      <c r="J5" s="438"/>
      <c r="K5" s="438"/>
      <c r="L5" s="438"/>
      <c r="M5" s="438"/>
      <c r="Q5" s="68"/>
      <c r="R5" s="68"/>
      <c r="S5" s="68"/>
      <c r="T5" s="68"/>
      <c r="U5" s="68"/>
      <c r="V5" s="68"/>
      <c r="W5" s="68"/>
      <c r="X5" s="68"/>
      <c r="Y5" s="68"/>
    </row>
    <row r="6" spans="1:46" ht="17" customHeight="1" thickBot="1">
      <c r="C6" s="1"/>
      <c r="D6" s="1"/>
      <c r="E6" s="438"/>
      <c r="F6" s="438"/>
      <c r="G6" s="438"/>
      <c r="H6" s="438"/>
      <c r="I6" s="438"/>
      <c r="J6" s="438"/>
      <c r="K6" s="438"/>
      <c r="L6" s="438"/>
      <c r="M6" s="438"/>
    </row>
    <row r="7" spans="1:46" ht="19" thickBot="1">
      <c r="C7" s="536" t="s">
        <v>403</v>
      </c>
      <c r="D7" s="1"/>
      <c r="E7" s="425"/>
      <c r="F7" s="641" t="s">
        <v>479</v>
      </c>
      <c r="G7" s="642"/>
      <c r="H7" s="642"/>
      <c r="I7" s="642"/>
      <c r="J7" s="642"/>
      <c r="K7" s="642"/>
      <c r="L7" s="642"/>
      <c r="M7" s="643"/>
      <c r="Q7" s="228"/>
      <c r="R7" s="641" t="s">
        <v>479</v>
      </c>
      <c r="S7" s="642"/>
      <c r="T7" s="642"/>
      <c r="U7" s="642"/>
      <c r="V7" s="642"/>
      <c r="W7" s="642"/>
      <c r="X7" s="642"/>
      <c r="Y7" s="643"/>
    </row>
    <row r="8" spans="1:46" ht="15" thickBot="1">
      <c r="D8" s="425"/>
      <c r="E8" s="425"/>
      <c r="F8" s="635" t="s">
        <v>317</v>
      </c>
      <c r="G8" s="636"/>
      <c r="H8" s="636"/>
      <c r="I8" s="637"/>
      <c r="J8" s="423" t="s">
        <v>318</v>
      </c>
      <c r="K8" s="638" t="s">
        <v>319</v>
      </c>
      <c r="L8" s="639"/>
      <c r="M8" s="640"/>
      <c r="Q8" s="644" t="s">
        <v>384</v>
      </c>
      <c r="R8" s="635" t="s">
        <v>317</v>
      </c>
      <c r="S8" s="636"/>
      <c r="T8" s="636"/>
      <c r="U8" s="637"/>
      <c r="V8" s="423" t="s">
        <v>318</v>
      </c>
      <c r="W8" s="638" t="s">
        <v>319</v>
      </c>
      <c r="X8" s="639"/>
      <c r="Y8" s="640"/>
    </row>
    <row r="9" spans="1:46" ht="114.5" customHeight="1">
      <c r="A9" s="550"/>
      <c r="C9" s="477" t="s">
        <v>389</v>
      </c>
      <c r="D9" s="478" t="s">
        <v>390</v>
      </c>
      <c r="E9" s="488" t="s">
        <v>379</v>
      </c>
      <c r="F9" s="481" t="s">
        <v>307</v>
      </c>
      <c r="G9" s="479" t="s">
        <v>308</v>
      </c>
      <c r="H9" s="479" t="s">
        <v>309</v>
      </c>
      <c r="I9" s="480" t="s">
        <v>345</v>
      </c>
      <c r="J9" s="481" t="s">
        <v>359</v>
      </c>
      <c r="K9" s="481" t="s">
        <v>320</v>
      </c>
      <c r="L9" s="479" t="s">
        <v>321</v>
      </c>
      <c r="M9" s="480" t="s">
        <v>322</v>
      </c>
      <c r="Q9" s="644"/>
      <c r="R9" s="429" t="s">
        <v>307</v>
      </c>
      <c r="S9" s="428" t="s">
        <v>308</v>
      </c>
      <c r="T9" s="428" t="s">
        <v>309</v>
      </c>
      <c r="U9" s="430" t="s">
        <v>345</v>
      </c>
      <c r="V9" s="429" t="s">
        <v>359</v>
      </c>
      <c r="W9" s="429" t="s">
        <v>320</v>
      </c>
      <c r="X9" s="428" t="s">
        <v>321</v>
      </c>
      <c r="Y9" s="430" t="s">
        <v>322</v>
      </c>
    </row>
    <row r="10" spans="1:46" ht="30" customHeight="1">
      <c r="A10" s="648" t="s">
        <v>392</v>
      </c>
      <c r="C10" s="545"/>
      <c r="D10" s="476" t="s">
        <v>310</v>
      </c>
      <c r="E10" s="546"/>
      <c r="F10" s="432">
        <f>IF($AE10=TRUE,IF($AF10=TRUE,R10,IF(ISNUMBER(F32),F32," "))," ")</f>
        <v>1</v>
      </c>
      <c r="G10" s="432">
        <f t="shared" ref="G10:M10" si="0">IF($AE10=TRUE,IF($AF10=TRUE,S10,IF(ISNUMBER(G32),G32," "))," ")</f>
        <v>1</v>
      </c>
      <c r="H10" s="432">
        <f t="shared" si="0"/>
        <v>1</v>
      </c>
      <c r="I10" s="432">
        <f t="shared" si="0"/>
        <v>1</v>
      </c>
      <c r="J10" s="432">
        <f t="shared" si="0"/>
        <v>1</v>
      </c>
      <c r="K10" s="432">
        <f t="shared" si="0"/>
        <v>0</v>
      </c>
      <c r="L10" s="432">
        <f t="shared" si="0"/>
        <v>0</v>
      </c>
      <c r="M10" s="432">
        <f t="shared" si="0"/>
        <v>0</v>
      </c>
      <c r="Q10" s="497" t="s">
        <v>310</v>
      </c>
      <c r="R10" s="475">
        <v>1</v>
      </c>
      <c r="S10" s="433">
        <v>1</v>
      </c>
      <c r="T10" s="433">
        <v>1</v>
      </c>
      <c r="U10" s="434">
        <v>1</v>
      </c>
      <c r="V10" s="432">
        <v>1</v>
      </c>
      <c r="W10" s="432">
        <v>0</v>
      </c>
      <c r="X10" s="433">
        <v>0</v>
      </c>
      <c r="Y10" s="434">
        <v>0</v>
      </c>
      <c r="AE10" s="420" t="b">
        <v>1</v>
      </c>
      <c r="AF10" s="420" t="b">
        <v>1</v>
      </c>
      <c r="AJ10">
        <v>-1</v>
      </c>
      <c r="AT10" s="426"/>
    </row>
    <row r="11" spans="1:46" ht="30" customHeight="1">
      <c r="A11" s="648"/>
      <c r="C11" s="545"/>
      <c r="D11" s="476" t="s">
        <v>323</v>
      </c>
      <c r="E11" s="547"/>
      <c r="F11" s="432">
        <f>IF($AE11=TRUE,IF($AF11=TRUE,R11,IF(ISNUMBER(F33),F33," "))," ")</f>
        <v>1</v>
      </c>
      <c r="G11" s="432">
        <f t="shared" ref="G11:M11" si="1">IF($AE11=TRUE,IF($AF11=TRUE,S11,IF(ISNUMBER(G33),G33," "))," ")</f>
        <v>1</v>
      </c>
      <c r="H11" s="432">
        <f t="shared" si="1"/>
        <v>1</v>
      </c>
      <c r="I11" s="432">
        <f t="shared" si="1"/>
        <v>1</v>
      </c>
      <c r="J11" s="432">
        <f t="shared" si="1"/>
        <v>1</v>
      </c>
      <c r="K11" s="432">
        <f t="shared" si="1"/>
        <v>1</v>
      </c>
      <c r="L11" s="432">
        <f t="shared" si="1"/>
        <v>0</v>
      </c>
      <c r="M11" s="432">
        <f t="shared" si="1"/>
        <v>1</v>
      </c>
      <c r="Q11" s="497" t="s">
        <v>323</v>
      </c>
      <c r="R11" s="475">
        <v>1</v>
      </c>
      <c r="S11" s="433">
        <v>1</v>
      </c>
      <c r="T11" s="433">
        <v>1</v>
      </c>
      <c r="U11" s="434">
        <v>1</v>
      </c>
      <c r="V11" s="432">
        <v>1</v>
      </c>
      <c r="W11" s="432">
        <v>1</v>
      </c>
      <c r="X11" s="433">
        <v>0</v>
      </c>
      <c r="Y11" s="434">
        <v>1</v>
      </c>
      <c r="AE11" s="420" t="b">
        <v>1</v>
      </c>
      <c r="AF11" s="420" t="b">
        <v>1</v>
      </c>
      <c r="AJ11">
        <v>0</v>
      </c>
      <c r="AT11" s="426"/>
    </row>
    <row r="12" spans="1:46" ht="30" customHeight="1">
      <c r="A12" s="648"/>
      <c r="C12" s="545"/>
      <c r="D12" s="476" t="s">
        <v>311</v>
      </c>
      <c r="E12" s="548"/>
      <c r="F12" s="432">
        <f t="shared" ref="F12:M12" si="2">IF($AE12=TRUE,IF($AF12=TRUE,R12,IF(ISNUMBER(F34),F34," "))," ")</f>
        <v>1</v>
      </c>
      <c r="G12" s="432">
        <f t="shared" si="2"/>
        <v>1</v>
      </c>
      <c r="H12" s="432">
        <f t="shared" si="2"/>
        <v>0</v>
      </c>
      <c r="I12" s="432">
        <f t="shared" si="2"/>
        <v>1</v>
      </c>
      <c r="J12" s="432">
        <f t="shared" si="2"/>
        <v>0</v>
      </c>
      <c r="K12" s="432">
        <f t="shared" si="2"/>
        <v>0</v>
      </c>
      <c r="L12" s="432">
        <f t="shared" si="2"/>
        <v>0</v>
      </c>
      <c r="M12" s="432">
        <f t="shared" si="2"/>
        <v>0</v>
      </c>
      <c r="Q12" s="497" t="s">
        <v>311</v>
      </c>
      <c r="R12" s="475">
        <v>1</v>
      </c>
      <c r="S12" s="433">
        <v>1</v>
      </c>
      <c r="T12" s="433">
        <v>0</v>
      </c>
      <c r="U12" s="434">
        <v>1</v>
      </c>
      <c r="V12" s="432">
        <v>0</v>
      </c>
      <c r="W12" s="432">
        <v>0</v>
      </c>
      <c r="X12" s="433">
        <v>0</v>
      </c>
      <c r="Y12" s="434">
        <v>0</v>
      </c>
      <c r="AE12" s="420" t="b">
        <v>1</v>
      </c>
      <c r="AF12" s="420" t="b">
        <v>1</v>
      </c>
      <c r="AJ12">
        <v>1</v>
      </c>
      <c r="AT12" s="426"/>
    </row>
    <row r="13" spans="1:46" ht="30" customHeight="1">
      <c r="A13" s="648"/>
      <c r="C13" s="545"/>
      <c r="D13" s="476" t="s">
        <v>312</v>
      </c>
      <c r="E13" s="547"/>
      <c r="F13" s="432">
        <f t="shared" ref="F13:F17" si="3">IF($AE13=TRUE,IF($AF13=TRUE,R13,IF(ISNUMBER(F35),F35," "))," ")</f>
        <v>1</v>
      </c>
      <c r="G13" s="432">
        <f t="shared" ref="G13:G17" si="4">IF($AE13=TRUE,IF($AF13=TRUE,S13,IF(ISNUMBER(G35),G35," "))," ")</f>
        <v>1</v>
      </c>
      <c r="H13" s="432">
        <f t="shared" ref="H13:H17" si="5">IF($AE13=TRUE,IF($AF13=TRUE,T13,IF(ISNUMBER(H35),H35," "))," ")</f>
        <v>1</v>
      </c>
      <c r="I13" s="432">
        <f t="shared" ref="I13:I17" si="6">IF($AE13=TRUE,IF($AF13=TRUE,U13,IF(ISNUMBER(I35),I35," "))," ")</f>
        <v>1</v>
      </c>
      <c r="J13" s="432">
        <f t="shared" ref="J13:J17" si="7">IF($AE13=TRUE,IF($AF13=TRUE,V13,IF(ISNUMBER(J35),J35," "))," ")</f>
        <v>1</v>
      </c>
      <c r="K13" s="432">
        <f t="shared" ref="K13:K17" si="8">IF($AE13=TRUE,IF($AF13=TRUE,W13,IF(ISNUMBER(K35),K35," "))," ")</f>
        <v>0</v>
      </c>
      <c r="L13" s="432">
        <f t="shared" ref="L13:L17" si="9">IF($AE13=TRUE,IF($AF13=TRUE,X13,IF(ISNUMBER(L35),L35," "))," ")</f>
        <v>0</v>
      </c>
      <c r="M13" s="432">
        <f t="shared" ref="M13:M17" si="10">IF($AE13=TRUE,IF($AF13=TRUE,Y13,IF(ISNUMBER(M35),M35," "))," ")</f>
        <v>-1</v>
      </c>
      <c r="Q13" s="497" t="s">
        <v>312</v>
      </c>
      <c r="R13" s="475">
        <v>1</v>
      </c>
      <c r="S13" s="433">
        <v>1</v>
      </c>
      <c r="T13" s="433">
        <v>1</v>
      </c>
      <c r="U13" s="434">
        <v>1</v>
      </c>
      <c r="V13" s="432">
        <v>1</v>
      </c>
      <c r="W13" s="432">
        <v>0</v>
      </c>
      <c r="X13" s="433">
        <v>0</v>
      </c>
      <c r="Y13" s="434">
        <v>-1</v>
      </c>
      <c r="AE13" s="420" t="b">
        <v>1</v>
      </c>
      <c r="AF13" s="420" t="b">
        <v>1</v>
      </c>
      <c r="AT13" s="426"/>
    </row>
    <row r="14" spans="1:46" ht="30" customHeight="1">
      <c r="A14" s="648"/>
      <c r="C14" s="545"/>
      <c r="D14" s="476" t="s">
        <v>313</v>
      </c>
      <c r="E14" s="547"/>
      <c r="F14" s="432">
        <f t="shared" si="3"/>
        <v>0</v>
      </c>
      <c r="G14" s="432">
        <f t="shared" si="4"/>
        <v>0</v>
      </c>
      <c r="H14" s="432">
        <f t="shared" si="5"/>
        <v>-1</v>
      </c>
      <c r="I14" s="432">
        <f t="shared" si="6"/>
        <v>1</v>
      </c>
      <c r="J14" s="432">
        <f t="shared" si="7"/>
        <v>1</v>
      </c>
      <c r="K14" s="432">
        <f t="shared" si="8"/>
        <v>0</v>
      </c>
      <c r="L14" s="432">
        <f t="shared" si="9"/>
        <v>0</v>
      </c>
      <c r="M14" s="432">
        <f t="shared" si="10"/>
        <v>0</v>
      </c>
      <c r="Q14" s="497" t="s">
        <v>313</v>
      </c>
      <c r="R14" s="475">
        <v>0</v>
      </c>
      <c r="S14" s="433">
        <v>0</v>
      </c>
      <c r="T14" s="433">
        <v>-1</v>
      </c>
      <c r="U14" s="434">
        <v>1</v>
      </c>
      <c r="V14" s="432">
        <v>1</v>
      </c>
      <c r="W14" s="432">
        <v>0</v>
      </c>
      <c r="X14" s="433">
        <v>0</v>
      </c>
      <c r="Y14" s="434">
        <v>0</v>
      </c>
      <c r="AE14" s="420" t="b">
        <v>1</v>
      </c>
      <c r="AF14" s="420" t="b">
        <v>1</v>
      </c>
      <c r="AT14" s="426"/>
    </row>
    <row r="15" spans="1:46" ht="30" customHeight="1">
      <c r="A15" s="648"/>
      <c r="C15" s="545"/>
      <c r="D15" s="476" t="s">
        <v>314</v>
      </c>
      <c r="E15" s="547"/>
      <c r="F15" s="432">
        <f t="shared" si="3"/>
        <v>1</v>
      </c>
      <c r="G15" s="432">
        <f t="shared" si="4"/>
        <v>0</v>
      </c>
      <c r="H15" s="432">
        <f t="shared" si="5"/>
        <v>0</v>
      </c>
      <c r="I15" s="432">
        <f t="shared" si="6"/>
        <v>1</v>
      </c>
      <c r="J15" s="432">
        <f t="shared" si="7"/>
        <v>1</v>
      </c>
      <c r="K15" s="432">
        <f t="shared" si="8"/>
        <v>0</v>
      </c>
      <c r="L15" s="432">
        <f t="shared" si="9"/>
        <v>0</v>
      </c>
      <c r="M15" s="432">
        <f t="shared" si="10"/>
        <v>0</v>
      </c>
      <c r="Q15" s="497" t="s">
        <v>314</v>
      </c>
      <c r="R15" s="475">
        <v>1</v>
      </c>
      <c r="S15" s="433">
        <v>0</v>
      </c>
      <c r="T15" s="433">
        <v>0</v>
      </c>
      <c r="U15" s="434">
        <v>1</v>
      </c>
      <c r="V15" s="432">
        <v>1</v>
      </c>
      <c r="W15" s="432">
        <v>0</v>
      </c>
      <c r="X15" s="433">
        <v>0</v>
      </c>
      <c r="Y15" s="434">
        <v>0</v>
      </c>
      <c r="AE15" s="420" t="b">
        <v>1</v>
      </c>
      <c r="AF15" s="420" t="b">
        <v>1</v>
      </c>
      <c r="AT15" s="426"/>
    </row>
    <row r="16" spans="1:46" ht="30" customHeight="1">
      <c r="A16" s="648"/>
      <c r="C16" s="545"/>
      <c r="D16" s="476" t="s">
        <v>315</v>
      </c>
      <c r="E16" s="547"/>
      <c r="F16" s="432">
        <f t="shared" si="3"/>
        <v>0</v>
      </c>
      <c r="G16" s="432">
        <f t="shared" si="4"/>
        <v>0</v>
      </c>
      <c r="H16" s="432">
        <f t="shared" si="5"/>
        <v>0</v>
      </c>
      <c r="I16" s="432">
        <f t="shared" si="6"/>
        <v>1</v>
      </c>
      <c r="J16" s="432">
        <f t="shared" si="7"/>
        <v>1</v>
      </c>
      <c r="K16" s="432">
        <f t="shared" si="8"/>
        <v>0</v>
      </c>
      <c r="L16" s="432">
        <f t="shared" si="9"/>
        <v>0</v>
      </c>
      <c r="M16" s="432">
        <f t="shared" si="10"/>
        <v>0</v>
      </c>
      <c r="Q16" s="497" t="s">
        <v>315</v>
      </c>
      <c r="R16" s="475">
        <v>0</v>
      </c>
      <c r="S16" s="433">
        <v>0</v>
      </c>
      <c r="T16" s="433">
        <v>0</v>
      </c>
      <c r="U16" s="434">
        <v>1</v>
      </c>
      <c r="V16" s="432">
        <v>1</v>
      </c>
      <c r="W16" s="432">
        <v>0</v>
      </c>
      <c r="X16" s="433">
        <v>0</v>
      </c>
      <c r="Y16" s="434">
        <v>0</v>
      </c>
      <c r="AE16" s="420" t="b">
        <v>1</v>
      </c>
      <c r="AF16" s="420" t="b">
        <v>1</v>
      </c>
      <c r="AT16" s="426"/>
    </row>
    <row r="17" spans="1:46" ht="30" customHeight="1" thickBot="1">
      <c r="A17" s="648"/>
      <c r="C17" s="545"/>
      <c r="D17" s="476" t="s">
        <v>316</v>
      </c>
      <c r="E17" s="547"/>
      <c r="F17" s="432">
        <f t="shared" si="3"/>
        <v>0</v>
      </c>
      <c r="G17" s="432">
        <f t="shared" si="4"/>
        <v>0</v>
      </c>
      <c r="H17" s="432">
        <f t="shared" si="5"/>
        <v>0</v>
      </c>
      <c r="I17" s="432">
        <f t="shared" si="6"/>
        <v>1</v>
      </c>
      <c r="J17" s="432">
        <f t="shared" si="7"/>
        <v>1</v>
      </c>
      <c r="K17" s="432">
        <f t="shared" si="8"/>
        <v>0</v>
      </c>
      <c r="L17" s="432">
        <f t="shared" si="9"/>
        <v>0</v>
      </c>
      <c r="M17" s="432">
        <f t="shared" si="10"/>
        <v>-1</v>
      </c>
      <c r="Q17" s="497" t="s">
        <v>316</v>
      </c>
      <c r="R17" s="486">
        <v>0</v>
      </c>
      <c r="S17" s="436">
        <v>0</v>
      </c>
      <c r="T17" s="436">
        <v>0</v>
      </c>
      <c r="U17" s="437">
        <v>1</v>
      </c>
      <c r="V17" s="435">
        <v>1</v>
      </c>
      <c r="W17" s="435">
        <v>0</v>
      </c>
      <c r="X17" s="436">
        <v>0</v>
      </c>
      <c r="Y17" s="437">
        <v>-1</v>
      </c>
      <c r="AE17" s="420" t="b">
        <v>1</v>
      </c>
      <c r="AF17" s="420" t="b">
        <v>1</v>
      </c>
      <c r="AT17" s="426"/>
    </row>
    <row r="18" spans="1:46" ht="30" customHeight="1">
      <c r="A18" s="634" t="s">
        <v>393</v>
      </c>
      <c r="C18" s="483"/>
      <c r="D18" s="476" t="str">
        <f>IF(ISTEXT(D41), D41," ")</f>
        <v>Decrease Noise</v>
      </c>
      <c r="E18" s="489"/>
      <c r="F18" s="432">
        <f>IF(ISTEXT($D41),IF(ISNUMBER(F41),F41," ")," ")</f>
        <v>1</v>
      </c>
      <c r="G18" s="432">
        <f t="shared" ref="G18:M18" si="11">IF(ISTEXT($D41),IF(ISNUMBER(G41),G41," ")," ")</f>
        <v>0</v>
      </c>
      <c r="H18" s="432">
        <f t="shared" si="11"/>
        <v>0</v>
      </c>
      <c r="I18" s="482">
        <f t="shared" si="11"/>
        <v>0</v>
      </c>
      <c r="J18" s="432">
        <f t="shared" si="11"/>
        <v>1</v>
      </c>
      <c r="K18" s="432">
        <f t="shared" si="11"/>
        <v>0</v>
      </c>
      <c r="L18" s="432">
        <f t="shared" si="11"/>
        <v>0</v>
      </c>
      <c r="M18" s="482">
        <f t="shared" si="11"/>
        <v>1</v>
      </c>
      <c r="R18" s="468"/>
      <c r="S18" s="468"/>
      <c r="T18" s="468"/>
      <c r="U18" s="468"/>
      <c r="V18" s="468"/>
      <c r="W18" s="468"/>
      <c r="X18" s="468"/>
      <c r="Y18" s="468"/>
      <c r="AT18" s="426"/>
    </row>
    <row r="19" spans="1:46" ht="30" customHeight="1">
      <c r="A19" s="634"/>
      <c r="C19" s="483"/>
      <c r="D19" s="476" t="str">
        <f>IF(ISTEXT(D42), D42," ")</f>
        <v xml:space="preserve"> </v>
      </c>
      <c r="E19" s="489"/>
      <c r="F19" s="432" t="str">
        <f>IF(ISTEXT($D42),IF(ISNUMBER(F42),F42," ")," ")</f>
        <v xml:space="preserve"> </v>
      </c>
      <c r="G19" s="432" t="str">
        <f t="shared" ref="G19:M19" si="12">IF(ISTEXT($D42),IF(ISNUMBER(G42),G42," ")," ")</f>
        <v xml:space="preserve"> </v>
      </c>
      <c r="H19" s="432" t="str">
        <f t="shared" si="12"/>
        <v xml:space="preserve"> </v>
      </c>
      <c r="I19" s="482" t="str">
        <f t="shared" si="12"/>
        <v xml:space="preserve"> </v>
      </c>
      <c r="J19" s="432" t="str">
        <f t="shared" si="12"/>
        <v xml:space="preserve"> </v>
      </c>
      <c r="K19" s="432" t="str">
        <f t="shared" si="12"/>
        <v xml:space="preserve"> </v>
      </c>
      <c r="L19" s="432" t="str">
        <f t="shared" si="12"/>
        <v xml:space="preserve"> </v>
      </c>
      <c r="M19" s="482" t="str">
        <f t="shared" si="12"/>
        <v xml:space="preserve"> </v>
      </c>
      <c r="R19" s="468"/>
      <c r="S19" s="468"/>
      <c r="T19" s="468"/>
      <c r="U19" s="468"/>
      <c r="V19" s="468"/>
      <c r="W19" s="468"/>
      <c r="X19" s="468"/>
      <c r="Y19" s="468"/>
      <c r="AT19" s="426"/>
    </row>
    <row r="20" spans="1:46" ht="30" customHeight="1" thickBot="1">
      <c r="A20" s="634"/>
      <c r="C20" s="484"/>
      <c r="D20" s="485" t="str">
        <f>IF(ISTEXT(D43), D43," ")</f>
        <v xml:space="preserve"> </v>
      </c>
      <c r="E20" s="490"/>
      <c r="F20" s="435" t="str">
        <f>IF(ISTEXT($D43),IF(ISNUMBER(F43),F43," ")," ")</f>
        <v xml:space="preserve"> </v>
      </c>
      <c r="G20" s="435" t="str">
        <f t="shared" ref="G20:M20" si="13">IF(ISTEXT($D43),IF(ISNUMBER(G43),G43," ")," ")</f>
        <v xml:space="preserve"> </v>
      </c>
      <c r="H20" s="435" t="str">
        <f t="shared" si="13"/>
        <v xml:space="preserve"> </v>
      </c>
      <c r="I20" s="487" t="str">
        <f t="shared" si="13"/>
        <v xml:space="preserve"> </v>
      </c>
      <c r="J20" s="435" t="str">
        <f t="shared" si="13"/>
        <v xml:space="preserve"> </v>
      </c>
      <c r="K20" s="435" t="str">
        <f t="shared" si="13"/>
        <v xml:space="preserve"> </v>
      </c>
      <c r="L20" s="435" t="str">
        <f t="shared" si="13"/>
        <v xml:space="preserve"> </v>
      </c>
      <c r="M20" s="487" t="str">
        <f t="shared" si="13"/>
        <v xml:space="preserve"> </v>
      </c>
      <c r="R20" s="468"/>
      <c r="S20" s="468"/>
      <c r="T20" s="468"/>
      <c r="U20" s="468"/>
      <c r="V20" s="468"/>
      <c r="W20" s="468"/>
      <c r="X20" s="468"/>
      <c r="Y20" s="468"/>
      <c r="AT20" s="426"/>
    </row>
    <row r="21" spans="1:46" ht="29" customHeight="1">
      <c r="A21" s="634"/>
      <c r="D21" s="427"/>
      <c r="E21" s="425"/>
      <c r="F21" s="425"/>
      <c r="G21" s="425"/>
      <c r="H21" s="425"/>
      <c r="I21" s="425"/>
      <c r="J21" s="425"/>
      <c r="K21" s="425"/>
      <c r="L21" s="425"/>
      <c r="M21" s="425"/>
      <c r="AT21" s="426"/>
    </row>
    <row r="22" spans="1:46" ht="20">
      <c r="D22" s="431"/>
      <c r="E22" s="431"/>
      <c r="F22" s="431"/>
      <c r="G22" s="431"/>
      <c r="H22" s="431"/>
      <c r="I22" s="431"/>
      <c r="J22" s="431"/>
      <c r="K22" s="431"/>
      <c r="L22" s="431"/>
      <c r="M22" s="431"/>
      <c r="N22" s="431"/>
      <c r="AT22" s="426"/>
    </row>
    <row r="23" spans="1:46" ht="20">
      <c r="D23" s="431"/>
      <c r="E23" s="431"/>
      <c r="F23" s="431"/>
      <c r="G23" s="431"/>
      <c r="H23" s="431"/>
      <c r="I23" s="431"/>
      <c r="J23" s="431"/>
      <c r="K23" s="431"/>
      <c r="L23" s="431"/>
      <c r="M23" s="431"/>
      <c r="N23" s="431"/>
      <c r="AT23" s="426"/>
    </row>
    <row r="24" spans="1:46" ht="18.5" customHeight="1">
      <c r="D24" s="431"/>
      <c r="E24" s="431"/>
      <c r="F24" s="431"/>
      <c r="G24" s="431"/>
      <c r="H24" s="431"/>
      <c r="I24" s="431"/>
      <c r="J24" s="431"/>
      <c r="K24" s="431"/>
      <c r="L24" s="431"/>
      <c r="M24" s="431"/>
      <c r="N24" s="431"/>
      <c r="AT24" s="426"/>
    </row>
    <row r="25" spans="1:46" ht="20">
      <c r="D25" s="431"/>
      <c r="E25" s="431"/>
      <c r="F25" s="431"/>
      <c r="G25" s="431"/>
      <c r="H25" s="431"/>
      <c r="I25" s="431"/>
      <c r="J25" s="431"/>
      <c r="K25" s="431"/>
      <c r="L25" s="431"/>
      <c r="M25" s="431"/>
      <c r="N25" s="431"/>
      <c r="AT25" s="426"/>
    </row>
    <row r="26" spans="1:46" ht="20" hidden="1" customHeight="1">
      <c r="D26" s="431"/>
      <c r="E26" s="431"/>
      <c r="F26" s="431"/>
      <c r="G26" s="431"/>
      <c r="H26" s="431"/>
      <c r="I26" s="431"/>
      <c r="J26" s="431"/>
      <c r="K26" s="431"/>
      <c r="L26" s="431"/>
      <c r="M26" s="431"/>
      <c r="N26" s="431"/>
      <c r="AT26" s="426"/>
    </row>
    <row r="27" spans="1:46" ht="20" hidden="1" customHeight="1">
      <c r="D27" s="431"/>
      <c r="E27" s="431"/>
      <c r="F27" s="431"/>
      <c r="G27" s="431"/>
      <c r="H27" s="431"/>
      <c r="I27" s="431"/>
      <c r="J27" s="431"/>
      <c r="K27" s="431"/>
      <c r="L27" s="431"/>
      <c r="M27" s="431"/>
      <c r="N27" s="431"/>
      <c r="AT27" s="426"/>
    </row>
    <row r="28" spans="1:46" ht="22.5">
      <c r="D28" s="431"/>
      <c r="E28" s="431"/>
      <c r="F28" s="654" t="s">
        <v>388</v>
      </c>
      <c r="G28" s="654"/>
      <c r="H28" s="654"/>
      <c r="I28" s="654"/>
      <c r="J28" s="654"/>
      <c r="K28" s="654"/>
      <c r="L28" s="654"/>
      <c r="M28" s="654"/>
      <c r="N28" s="431"/>
      <c r="AT28" s="426"/>
    </row>
    <row r="29" spans="1:46" ht="19" thickBot="1">
      <c r="D29" s="425"/>
      <c r="E29" s="425"/>
      <c r="F29" s="645" t="s">
        <v>479</v>
      </c>
      <c r="G29" s="645"/>
      <c r="H29" s="645"/>
      <c r="I29" s="645"/>
      <c r="J29" s="645"/>
      <c r="K29" s="645"/>
      <c r="L29" s="645"/>
      <c r="M29" s="645"/>
      <c r="N29" s="431"/>
    </row>
    <row r="30" spans="1:46">
      <c r="D30" s="425"/>
      <c r="E30" s="425"/>
      <c r="F30" s="635" t="s">
        <v>317</v>
      </c>
      <c r="G30" s="636"/>
      <c r="H30" s="636"/>
      <c r="I30" s="637"/>
      <c r="J30" s="423" t="s">
        <v>318</v>
      </c>
      <c r="K30" s="638" t="s">
        <v>319</v>
      </c>
      <c r="L30" s="639"/>
      <c r="M30" s="640"/>
      <c r="N30" s="431"/>
    </row>
    <row r="31" spans="1:46" ht="114" customHeight="1">
      <c r="C31" s="66"/>
      <c r="D31" s="66" t="s">
        <v>394</v>
      </c>
      <c r="E31" s="66"/>
      <c r="F31" s="429" t="s">
        <v>307</v>
      </c>
      <c r="G31" s="428" t="s">
        <v>308</v>
      </c>
      <c r="H31" s="428" t="s">
        <v>309</v>
      </c>
      <c r="I31" s="430" t="s">
        <v>345</v>
      </c>
      <c r="J31" s="429" t="s">
        <v>359</v>
      </c>
      <c r="K31" s="429" t="s">
        <v>320</v>
      </c>
      <c r="L31" s="428" t="s">
        <v>321</v>
      </c>
      <c r="M31" s="430" t="s">
        <v>322</v>
      </c>
      <c r="N31" s="431"/>
    </row>
    <row r="32" spans="1:46" ht="38" customHeight="1">
      <c r="A32" s="648" t="s">
        <v>395</v>
      </c>
      <c r="C32" s="472" t="str">
        <f>IF(D32&lt;&gt;" ","[", "")</f>
        <v/>
      </c>
      <c r="D32" s="495" t="str">
        <f t="shared" ref="D32:D39" si="14">IF(AND(AE10=TRUE,AF10=FALSE),D10," ")</f>
        <v xml:space="preserve"> </v>
      </c>
      <c r="E32" s="496" t="str">
        <f t="shared" ref="E32:E39" si="15">IF(AND(AE10=TRUE,AF10=FALSE),"Enter non default impact assessment in cells F32 to M32","IGNORE THIS ROW")</f>
        <v>IGNORE THIS ROW</v>
      </c>
      <c r="F32" s="494"/>
      <c r="G32" s="494"/>
      <c r="H32" s="494"/>
      <c r="I32" s="494"/>
      <c r="J32" s="494"/>
      <c r="K32" s="494"/>
      <c r="L32" s="494"/>
      <c r="M32" s="494"/>
      <c r="N32" s="431"/>
    </row>
    <row r="33" spans="1:15" ht="38" customHeight="1">
      <c r="A33" s="648"/>
      <c r="C33" s="472" t="str">
        <f>IF(D33&lt;&gt;" ","[", "")</f>
        <v/>
      </c>
      <c r="D33" s="495" t="str">
        <f t="shared" si="14"/>
        <v xml:space="preserve"> </v>
      </c>
      <c r="E33" s="496" t="str">
        <f t="shared" si="15"/>
        <v>IGNORE THIS ROW</v>
      </c>
      <c r="F33" s="494"/>
      <c r="G33" s="492"/>
      <c r="H33" s="492"/>
      <c r="I33" s="493"/>
      <c r="J33" s="491"/>
      <c r="K33" s="491"/>
      <c r="L33" s="492"/>
      <c r="M33" s="493"/>
      <c r="N33" s="431"/>
      <c r="O33" s="470"/>
    </row>
    <row r="34" spans="1:15" ht="38" customHeight="1">
      <c r="A34" s="648"/>
      <c r="C34" s="472" t="str">
        <f t="shared" ref="C34:C39" si="16">IF(D34&lt;&gt;" ","[", "")</f>
        <v/>
      </c>
      <c r="D34" s="495" t="str">
        <f t="shared" si="14"/>
        <v xml:space="preserve"> </v>
      </c>
      <c r="E34" s="496" t="str">
        <f t="shared" si="15"/>
        <v>IGNORE THIS ROW</v>
      </c>
      <c r="F34" s="494"/>
      <c r="G34" s="494"/>
      <c r="H34" s="494"/>
      <c r="I34" s="494"/>
      <c r="J34" s="494"/>
      <c r="K34" s="494"/>
      <c r="L34" s="494"/>
      <c r="M34" s="494"/>
      <c r="N34" s="431"/>
    </row>
    <row r="35" spans="1:15" ht="38" customHeight="1">
      <c r="A35" s="648"/>
      <c r="C35" s="472" t="str">
        <f t="shared" si="16"/>
        <v/>
      </c>
      <c r="D35" s="495" t="str">
        <f t="shared" si="14"/>
        <v xml:space="preserve"> </v>
      </c>
      <c r="E35" s="496" t="str">
        <f t="shared" si="15"/>
        <v>IGNORE THIS ROW</v>
      </c>
      <c r="F35" s="494"/>
      <c r="G35" s="494"/>
      <c r="H35" s="494"/>
      <c r="I35" s="494"/>
      <c r="J35" s="494"/>
      <c r="K35" s="494"/>
      <c r="L35" s="494"/>
      <c r="M35" s="494"/>
      <c r="N35" s="431"/>
    </row>
    <row r="36" spans="1:15" ht="38" customHeight="1">
      <c r="A36" s="648"/>
      <c r="C36" s="472" t="str">
        <f t="shared" si="16"/>
        <v/>
      </c>
      <c r="D36" s="495" t="str">
        <f t="shared" si="14"/>
        <v xml:space="preserve"> </v>
      </c>
      <c r="E36" s="496" t="str">
        <f t="shared" si="15"/>
        <v>IGNORE THIS ROW</v>
      </c>
      <c r="F36" s="494"/>
      <c r="G36" s="494"/>
      <c r="H36" s="494"/>
      <c r="I36" s="494"/>
      <c r="J36" s="494"/>
      <c r="K36" s="494"/>
      <c r="L36" s="494"/>
      <c r="M36" s="494"/>
      <c r="N36" s="431"/>
    </row>
    <row r="37" spans="1:15" ht="38" customHeight="1">
      <c r="A37" s="648"/>
      <c r="C37" s="472" t="str">
        <f t="shared" si="16"/>
        <v/>
      </c>
      <c r="D37" s="495" t="str">
        <f t="shared" si="14"/>
        <v xml:space="preserve"> </v>
      </c>
      <c r="E37" s="496" t="str">
        <f t="shared" si="15"/>
        <v>IGNORE THIS ROW</v>
      </c>
      <c r="F37" s="494"/>
      <c r="G37" s="494"/>
      <c r="H37" s="494"/>
      <c r="I37" s="494"/>
      <c r="J37" s="494"/>
      <c r="K37" s="494"/>
      <c r="L37" s="494"/>
      <c r="M37" s="494"/>
      <c r="N37" s="431"/>
    </row>
    <row r="38" spans="1:15" ht="38" customHeight="1">
      <c r="A38" s="648"/>
      <c r="C38" s="472" t="str">
        <f t="shared" si="16"/>
        <v/>
      </c>
      <c r="D38" s="495" t="str">
        <f t="shared" si="14"/>
        <v xml:space="preserve"> </v>
      </c>
      <c r="E38" s="496" t="str">
        <f t="shared" si="15"/>
        <v>IGNORE THIS ROW</v>
      </c>
      <c r="F38" s="494"/>
      <c r="G38" s="494"/>
      <c r="H38" s="494"/>
      <c r="I38" s="494"/>
      <c r="J38" s="494"/>
      <c r="K38" s="494"/>
      <c r="L38" s="494"/>
      <c r="M38" s="494"/>
      <c r="N38" s="431"/>
    </row>
    <row r="39" spans="1:15" ht="38" customHeight="1">
      <c r="A39" s="648"/>
      <c r="C39" s="472" t="str">
        <f t="shared" si="16"/>
        <v/>
      </c>
      <c r="D39" s="495" t="str">
        <f t="shared" si="14"/>
        <v xml:space="preserve"> </v>
      </c>
      <c r="E39" s="496" t="str">
        <f t="shared" si="15"/>
        <v>IGNORE THIS ROW</v>
      </c>
      <c r="F39" s="494"/>
      <c r="G39" s="494"/>
      <c r="H39" s="494"/>
      <c r="I39" s="494"/>
      <c r="J39" s="494"/>
      <c r="K39" s="494"/>
      <c r="L39" s="494"/>
      <c r="M39" s="494"/>
      <c r="N39" s="431"/>
    </row>
    <row r="40" spans="1:15" ht="58" customHeight="1" thickBot="1">
      <c r="A40" s="541"/>
      <c r="C40" s="473"/>
      <c r="D40" s="474" t="s">
        <v>386</v>
      </c>
      <c r="E40" s="652" t="s">
        <v>387</v>
      </c>
      <c r="F40" s="652"/>
      <c r="G40" s="652"/>
      <c r="H40" s="652"/>
      <c r="I40" s="652"/>
      <c r="J40" s="652"/>
      <c r="K40" s="652"/>
      <c r="L40" s="652"/>
      <c r="M40" s="653"/>
      <c r="N40" s="431"/>
    </row>
    <row r="41" spans="1:15" ht="38" customHeight="1" thickBot="1">
      <c r="A41" s="647" t="s">
        <v>435</v>
      </c>
      <c r="B41" s="647"/>
      <c r="C41" s="472" t="str">
        <f>IF(ISTEXT(D41),"[", "")</f>
        <v>[</v>
      </c>
      <c r="D41" s="549" t="s">
        <v>444</v>
      </c>
      <c r="E41" s="471" t="str">
        <f>IF(ISTEXT(D41), "Enter non default impact assessment in cells F41 to M41", "IGNORE THIS ROW")</f>
        <v>Enter non default impact assessment in cells F41 to M41</v>
      </c>
      <c r="F41" s="494">
        <v>1</v>
      </c>
      <c r="G41" s="494">
        <v>0</v>
      </c>
      <c r="H41" s="494">
        <v>0</v>
      </c>
      <c r="I41" s="494">
        <v>0</v>
      </c>
      <c r="J41" s="494">
        <v>1</v>
      </c>
      <c r="K41" s="494">
        <v>0</v>
      </c>
      <c r="L41" s="494">
        <v>0</v>
      </c>
      <c r="M41" s="494">
        <v>1</v>
      </c>
      <c r="N41" s="431"/>
    </row>
    <row r="42" spans="1:15" ht="38" customHeight="1" thickBot="1">
      <c r="A42" s="647"/>
      <c r="B42" s="647"/>
      <c r="C42" s="472" t="str">
        <f>IF(ISTEXT(D42),"[", "")</f>
        <v/>
      </c>
      <c r="D42" s="549"/>
      <c r="E42" s="471" t="str">
        <f>IF(ISTEXT(D42), "Enter non default impact assessment in cells F42 to M42", "IGNORE THIS ROW")</f>
        <v>IGNORE THIS ROW</v>
      </c>
      <c r="F42" s="494"/>
      <c r="G42" s="494"/>
      <c r="H42" s="494"/>
      <c r="I42" s="494"/>
      <c r="J42" s="494"/>
      <c r="K42" s="494"/>
      <c r="L42" s="494"/>
      <c r="M42" s="494"/>
      <c r="N42" s="431"/>
    </row>
    <row r="43" spans="1:15" ht="38" customHeight="1" thickBot="1">
      <c r="A43" s="647"/>
      <c r="B43" s="647"/>
      <c r="C43" s="472" t="str">
        <f>IF(ISTEXT(D43),"[", "")</f>
        <v/>
      </c>
      <c r="D43" s="549"/>
      <c r="E43" s="471" t="str">
        <f>IF(ISTEXT(D43), "Enter non default impact assessment in cells F43 to M43", "IGNORE THIS ROW")</f>
        <v>IGNORE THIS ROW</v>
      </c>
      <c r="F43" s="494"/>
      <c r="G43" s="494"/>
      <c r="H43" s="494"/>
      <c r="I43" s="494"/>
      <c r="J43" s="494"/>
      <c r="K43" s="494"/>
      <c r="L43" s="494"/>
      <c r="M43" s="494"/>
      <c r="N43" s="431"/>
    </row>
    <row r="44" spans="1:15" ht="13" customHeight="1">
      <c r="A44" s="647"/>
      <c r="B44" s="647"/>
      <c r="D44" s="431"/>
      <c r="E44" s="431"/>
      <c r="F44" s="431"/>
      <c r="G44" s="431"/>
      <c r="H44" s="431"/>
      <c r="I44" s="431"/>
      <c r="J44" s="431"/>
      <c r="K44" s="431"/>
      <c r="L44" s="431"/>
      <c r="M44" s="431"/>
      <c r="N44" s="431"/>
    </row>
    <row r="45" spans="1:15">
      <c r="D45" s="431"/>
      <c r="E45" s="431"/>
      <c r="F45" s="431"/>
      <c r="G45" s="431"/>
      <c r="H45" s="431"/>
      <c r="I45" s="431"/>
      <c r="J45" s="431"/>
      <c r="K45" s="431"/>
      <c r="L45" s="431"/>
      <c r="M45" s="431"/>
      <c r="N45" s="431"/>
    </row>
    <row r="46" spans="1:15">
      <c r="D46" s="431"/>
      <c r="E46" s="431"/>
      <c r="F46" s="431"/>
      <c r="G46" s="431"/>
      <c r="H46" s="431"/>
      <c r="I46" s="431"/>
      <c r="J46" s="431"/>
      <c r="K46" s="431"/>
      <c r="L46" s="431"/>
      <c r="M46" s="431"/>
      <c r="N46" s="431"/>
    </row>
    <row r="47" spans="1:15">
      <c r="D47" s="431"/>
      <c r="E47" s="431"/>
      <c r="F47" s="431"/>
      <c r="G47" s="431"/>
      <c r="H47" s="431"/>
      <c r="I47" s="431"/>
      <c r="J47" s="431"/>
      <c r="K47" s="431"/>
      <c r="L47" s="431"/>
      <c r="M47" s="431"/>
      <c r="N47" s="431"/>
    </row>
    <row r="48" spans="1:15">
      <c r="D48" s="431"/>
      <c r="E48" s="431"/>
      <c r="F48" s="431"/>
      <c r="G48" s="431"/>
      <c r="H48" s="431"/>
      <c r="I48" s="431"/>
      <c r="J48" s="431"/>
      <c r="K48" s="431"/>
      <c r="L48" s="431"/>
      <c r="M48" s="431"/>
      <c r="N48" s="431"/>
    </row>
    <row r="49" spans="4:14">
      <c r="D49" s="431"/>
      <c r="E49" s="431"/>
      <c r="F49" s="431"/>
      <c r="G49" s="431"/>
      <c r="H49" s="431"/>
      <c r="I49" s="431"/>
      <c r="J49" s="431"/>
      <c r="K49" s="431"/>
      <c r="L49" s="431"/>
      <c r="M49" s="431"/>
      <c r="N49" s="431"/>
    </row>
    <row r="50" spans="4:14">
      <c r="D50" s="431"/>
      <c r="E50" s="431"/>
      <c r="F50" s="431"/>
      <c r="G50" s="431"/>
      <c r="H50" s="431"/>
      <c r="I50" s="431"/>
      <c r="J50" s="431"/>
      <c r="K50" s="431"/>
      <c r="L50" s="431"/>
      <c r="M50" s="431"/>
      <c r="N50" s="431"/>
    </row>
    <row r="51" spans="4:14">
      <c r="D51" s="431"/>
      <c r="E51" s="431"/>
      <c r="F51" s="431"/>
      <c r="G51" s="431"/>
      <c r="H51" s="431"/>
      <c r="I51" s="431"/>
      <c r="J51" s="431"/>
      <c r="K51" s="431"/>
      <c r="L51" s="431"/>
      <c r="M51" s="431"/>
      <c r="N51" s="431"/>
    </row>
    <row r="52" spans="4:14">
      <c r="D52" s="431"/>
      <c r="E52" s="431"/>
      <c r="F52" s="431"/>
      <c r="G52" s="431"/>
      <c r="H52" s="431"/>
      <c r="I52" s="431"/>
      <c r="J52" s="431"/>
      <c r="K52" s="431"/>
      <c r="L52" s="431"/>
      <c r="M52" s="431"/>
      <c r="N52" s="431"/>
    </row>
    <row r="53" spans="4:14">
      <c r="D53" s="431"/>
      <c r="E53" s="431"/>
      <c r="F53" s="431"/>
      <c r="G53" s="431"/>
      <c r="H53" s="431"/>
      <c r="I53" s="431"/>
      <c r="J53" s="431"/>
      <c r="K53" s="431"/>
      <c r="L53" s="431"/>
      <c r="M53" s="431"/>
      <c r="N53" s="431"/>
    </row>
    <row r="54" spans="4:14">
      <c r="D54" s="431"/>
      <c r="E54" s="431"/>
      <c r="F54" s="431"/>
      <c r="G54" s="431"/>
      <c r="H54" s="431"/>
      <c r="I54" s="431"/>
      <c r="J54" s="431"/>
      <c r="K54" s="431"/>
      <c r="L54" s="431"/>
      <c r="M54" s="431"/>
      <c r="N54" s="431"/>
    </row>
    <row r="55" spans="4:14">
      <c r="D55" s="431"/>
      <c r="E55" s="431"/>
      <c r="F55" s="431"/>
      <c r="G55" s="431"/>
      <c r="H55" s="431"/>
      <c r="I55" s="431"/>
      <c r="J55" s="431"/>
      <c r="K55" s="431"/>
      <c r="L55" s="431"/>
      <c r="M55" s="431"/>
      <c r="N55" s="431"/>
    </row>
    <row r="56" spans="4:14">
      <c r="D56" s="431"/>
      <c r="E56" s="431"/>
      <c r="F56" s="431"/>
      <c r="G56" s="431"/>
      <c r="H56" s="431"/>
      <c r="I56" s="431"/>
      <c r="J56" s="431"/>
      <c r="K56" s="431"/>
      <c r="L56" s="431"/>
      <c r="M56" s="431"/>
      <c r="N56" s="431"/>
    </row>
    <row r="57" spans="4:14">
      <c r="D57" s="431"/>
      <c r="E57" s="431"/>
      <c r="F57" s="431"/>
      <c r="G57" s="431"/>
      <c r="H57" s="431"/>
      <c r="I57" s="431"/>
      <c r="J57" s="431"/>
      <c r="K57" s="431"/>
      <c r="L57" s="431"/>
      <c r="M57" s="431"/>
      <c r="N57" s="431"/>
    </row>
    <row r="58" spans="4:14">
      <c r="D58" s="431"/>
      <c r="E58" s="431"/>
      <c r="F58" s="431"/>
      <c r="G58" s="431"/>
      <c r="H58" s="431"/>
      <c r="I58" s="431"/>
      <c r="J58" s="431"/>
      <c r="K58" s="431"/>
      <c r="L58" s="431"/>
      <c r="M58" s="431"/>
      <c r="N58" s="431"/>
    </row>
    <row r="59" spans="4:14">
      <c r="D59" s="431"/>
      <c r="E59" s="431"/>
      <c r="F59" s="431"/>
      <c r="G59" s="431"/>
      <c r="H59" s="431"/>
      <c r="I59" s="431"/>
      <c r="J59" s="431"/>
      <c r="K59" s="431"/>
      <c r="L59" s="431"/>
      <c r="M59" s="431"/>
      <c r="N59" s="431"/>
    </row>
    <row r="60" spans="4:14">
      <c r="D60" s="431"/>
      <c r="E60" s="431"/>
      <c r="F60" s="431"/>
      <c r="G60" s="431"/>
      <c r="H60" s="431"/>
      <c r="I60" s="431"/>
      <c r="J60" s="431"/>
      <c r="K60" s="431"/>
      <c r="L60" s="431"/>
      <c r="M60" s="431"/>
      <c r="N60" s="431"/>
    </row>
    <row r="61" spans="4:14">
      <c r="D61" s="431"/>
      <c r="E61" s="431"/>
      <c r="F61" s="431"/>
      <c r="G61" s="431"/>
      <c r="H61" s="431"/>
      <c r="I61" s="431"/>
      <c r="J61" s="431"/>
      <c r="K61" s="431"/>
      <c r="L61" s="431"/>
      <c r="M61" s="431"/>
      <c r="N61" s="431"/>
    </row>
    <row r="62" spans="4:14">
      <c r="D62" s="431"/>
      <c r="E62" s="431"/>
      <c r="F62" s="431"/>
      <c r="G62" s="431"/>
      <c r="H62" s="431"/>
      <c r="I62" s="431"/>
      <c r="J62" s="431"/>
      <c r="K62" s="431"/>
      <c r="L62" s="431"/>
      <c r="M62" s="431"/>
      <c r="N62" s="431"/>
    </row>
    <row r="63" spans="4:14">
      <c r="D63" s="431"/>
      <c r="E63" s="431"/>
      <c r="F63" s="431"/>
      <c r="G63" s="431"/>
      <c r="H63" s="431"/>
      <c r="I63" s="431"/>
      <c r="J63" s="431"/>
      <c r="K63" s="431"/>
      <c r="L63" s="431"/>
      <c r="M63" s="431"/>
      <c r="N63" s="431"/>
    </row>
    <row r="64" spans="4:14">
      <c r="D64" s="431"/>
      <c r="E64" s="431"/>
      <c r="F64" s="431"/>
      <c r="G64" s="431"/>
      <c r="H64" s="431"/>
      <c r="I64" s="431"/>
      <c r="J64" s="431"/>
      <c r="K64" s="431"/>
      <c r="L64" s="431"/>
      <c r="M64" s="431"/>
      <c r="N64" s="431"/>
    </row>
    <row r="65" spans="4:14">
      <c r="D65" s="431"/>
      <c r="E65" s="431"/>
      <c r="F65" s="431"/>
      <c r="G65" s="431"/>
      <c r="H65" s="431"/>
      <c r="I65" s="431"/>
      <c r="J65" s="431"/>
      <c r="K65" s="431"/>
      <c r="L65" s="431"/>
      <c r="M65" s="431"/>
      <c r="N65" s="431"/>
    </row>
    <row r="66" spans="4:14">
      <c r="D66" s="431"/>
      <c r="E66" s="431"/>
      <c r="F66" s="431"/>
      <c r="G66" s="431"/>
      <c r="H66" s="431"/>
      <c r="I66" s="431"/>
      <c r="J66" s="431"/>
      <c r="K66" s="431"/>
      <c r="L66" s="431"/>
      <c r="M66" s="431"/>
      <c r="N66" s="431"/>
    </row>
    <row r="67" spans="4:14">
      <c r="D67" s="431"/>
      <c r="E67" s="431"/>
      <c r="F67" s="431"/>
      <c r="G67" s="431"/>
      <c r="H67" s="431"/>
      <c r="I67" s="431"/>
      <c r="J67" s="431"/>
      <c r="K67" s="431"/>
      <c r="L67" s="431"/>
      <c r="M67" s="431"/>
      <c r="N67" s="431"/>
    </row>
    <row r="68" spans="4:14">
      <c r="D68" s="431"/>
      <c r="E68" s="431"/>
      <c r="F68" s="431"/>
      <c r="G68" s="431"/>
      <c r="H68" s="431"/>
      <c r="I68" s="431"/>
      <c r="J68" s="431"/>
      <c r="K68" s="431"/>
      <c r="L68" s="431"/>
      <c r="M68" s="431"/>
      <c r="N68" s="431"/>
    </row>
    <row r="69" spans="4:14">
      <c r="D69" s="431"/>
      <c r="E69" s="431"/>
      <c r="F69" s="431"/>
      <c r="G69" s="431"/>
      <c r="H69" s="431"/>
      <c r="I69" s="431"/>
      <c r="J69" s="431"/>
      <c r="K69" s="431"/>
      <c r="L69" s="431"/>
      <c r="M69" s="431"/>
      <c r="N69" s="431"/>
    </row>
    <row r="70" spans="4:14">
      <c r="D70" s="431"/>
      <c r="E70" s="431"/>
      <c r="F70" s="431"/>
      <c r="G70" s="431"/>
      <c r="H70" s="431"/>
      <c r="I70" s="431"/>
      <c r="J70" s="431"/>
      <c r="K70" s="431"/>
      <c r="L70" s="431"/>
      <c r="M70" s="431"/>
      <c r="N70" s="431"/>
    </row>
    <row r="71" spans="4:14">
      <c r="D71" s="431"/>
      <c r="E71" s="431"/>
      <c r="F71" s="431"/>
      <c r="G71" s="431"/>
      <c r="H71" s="431"/>
      <c r="I71" s="431"/>
      <c r="J71" s="431"/>
      <c r="K71" s="431"/>
      <c r="L71" s="431"/>
      <c r="M71" s="431"/>
      <c r="N71" s="431"/>
    </row>
    <row r="72" spans="4:14">
      <c r="D72" s="431"/>
      <c r="E72" s="431"/>
      <c r="F72" s="431"/>
      <c r="G72" s="431"/>
      <c r="H72" s="431"/>
      <c r="I72" s="431"/>
      <c r="J72" s="431"/>
      <c r="K72" s="431"/>
      <c r="L72" s="431"/>
      <c r="M72" s="431"/>
      <c r="N72" s="431"/>
    </row>
    <row r="73" spans="4:14">
      <c r="D73" s="431"/>
      <c r="E73" s="431"/>
      <c r="F73" s="431"/>
      <c r="G73" s="431"/>
      <c r="H73" s="431"/>
      <c r="I73" s="431"/>
      <c r="J73" s="431"/>
      <c r="K73" s="431"/>
      <c r="L73" s="431"/>
      <c r="M73" s="431"/>
      <c r="N73" s="431"/>
    </row>
    <row r="74" spans="4:14">
      <c r="D74" s="431"/>
      <c r="E74" s="431"/>
      <c r="F74" s="431"/>
      <c r="G74" s="431"/>
      <c r="H74" s="431"/>
      <c r="I74" s="431"/>
      <c r="J74" s="431"/>
      <c r="K74" s="431"/>
      <c r="L74" s="431"/>
      <c r="M74" s="431"/>
      <c r="N74" s="431"/>
    </row>
    <row r="75" spans="4:14">
      <c r="D75" s="431"/>
      <c r="E75" s="431"/>
      <c r="F75" s="431"/>
      <c r="G75" s="431"/>
      <c r="H75" s="431"/>
      <c r="I75" s="431"/>
      <c r="J75" s="431"/>
      <c r="K75" s="431"/>
      <c r="L75" s="431"/>
      <c r="M75" s="431"/>
      <c r="N75" s="431"/>
    </row>
    <row r="76" spans="4:14">
      <c r="D76" s="431"/>
      <c r="E76" s="431"/>
      <c r="F76" s="431"/>
      <c r="G76" s="431"/>
      <c r="H76" s="431"/>
      <c r="I76" s="431"/>
      <c r="J76" s="431"/>
      <c r="K76" s="431"/>
      <c r="L76" s="431"/>
      <c r="M76" s="431"/>
      <c r="N76" s="431"/>
    </row>
    <row r="77" spans="4:14">
      <c r="D77" s="431"/>
      <c r="E77" s="431"/>
      <c r="F77" s="431"/>
      <c r="G77" s="431"/>
      <c r="H77" s="431"/>
      <c r="I77" s="431"/>
      <c r="J77" s="431"/>
      <c r="K77" s="431"/>
      <c r="L77" s="431"/>
      <c r="M77" s="431"/>
      <c r="N77" s="431"/>
    </row>
    <row r="78" spans="4:14">
      <c r="D78" s="431"/>
      <c r="E78" s="431"/>
      <c r="F78" s="431"/>
      <c r="G78" s="431"/>
      <c r="H78" s="431"/>
      <c r="I78" s="431"/>
      <c r="J78" s="431"/>
      <c r="K78" s="431"/>
      <c r="L78" s="431"/>
      <c r="M78" s="431"/>
      <c r="N78" s="431"/>
    </row>
    <row r="79" spans="4:14">
      <c r="D79" s="431"/>
      <c r="E79" s="431"/>
      <c r="F79" s="431"/>
      <c r="G79" s="431"/>
      <c r="H79" s="431"/>
      <c r="I79" s="431"/>
      <c r="J79" s="431"/>
      <c r="K79" s="431"/>
      <c r="L79" s="431"/>
      <c r="M79" s="431"/>
      <c r="N79" s="431"/>
    </row>
    <row r="80" spans="4:14">
      <c r="D80" s="431"/>
      <c r="E80" s="431"/>
      <c r="F80" s="431"/>
      <c r="G80" s="431"/>
      <c r="H80" s="431"/>
      <c r="I80" s="431"/>
      <c r="J80" s="431"/>
      <c r="K80" s="431"/>
      <c r="L80" s="431"/>
      <c r="M80" s="431"/>
      <c r="N80" s="431"/>
    </row>
    <row r="81" spans="4:14">
      <c r="D81" s="431"/>
      <c r="E81" s="431"/>
      <c r="F81" s="431"/>
      <c r="G81" s="431"/>
      <c r="H81" s="431"/>
      <c r="I81" s="431"/>
      <c r="J81" s="431"/>
      <c r="K81" s="431"/>
      <c r="L81" s="431"/>
      <c r="M81" s="431"/>
      <c r="N81" s="431"/>
    </row>
    <row r="82" spans="4:14">
      <c r="D82" s="431"/>
      <c r="E82" s="431"/>
      <c r="F82" s="431"/>
      <c r="G82" s="431"/>
      <c r="H82" s="431"/>
      <c r="I82" s="431"/>
      <c r="J82" s="431"/>
      <c r="K82" s="431"/>
      <c r="L82" s="431"/>
      <c r="M82" s="431"/>
      <c r="N82" s="431"/>
    </row>
    <row r="83" spans="4:14">
      <c r="D83" s="431"/>
      <c r="E83" s="431"/>
      <c r="F83" s="431"/>
      <c r="G83" s="431"/>
      <c r="H83" s="431"/>
      <c r="I83" s="431"/>
      <c r="J83" s="431"/>
      <c r="K83" s="431"/>
      <c r="L83" s="431"/>
      <c r="M83" s="431"/>
      <c r="N83" s="431"/>
    </row>
    <row r="84" spans="4:14">
      <c r="D84" s="431"/>
      <c r="E84" s="431"/>
      <c r="F84" s="431"/>
      <c r="G84" s="431"/>
      <c r="H84" s="431"/>
      <c r="I84" s="431"/>
      <c r="J84" s="431"/>
      <c r="K84" s="431"/>
      <c r="L84" s="431"/>
      <c r="M84" s="431"/>
      <c r="N84" s="431"/>
    </row>
    <row r="85" spans="4:14">
      <c r="D85" s="431"/>
      <c r="E85" s="431"/>
      <c r="F85" s="431"/>
      <c r="G85" s="431"/>
      <c r="H85" s="431"/>
      <c r="I85" s="431"/>
      <c r="J85" s="431"/>
      <c r="K85" s="431"/>
      <c r="L85" s="431"/>
      <c r="M85" s="431"/>
      <c r="N85" s="431"/>
    </row>
    <row r="86" spans="4:14">
      <c r="D86" s="431"/>
      <c r="E86" s="431"/>
      <c r="F86" s="431"/>
      <c r="G86" s="431"/>
      <c r="H86" s="431"/>
      <c r="I86" s="431"/>
      <c r="J86" s="431"/>
      <c r="K86" s="431"/>
      <c r="L86" s="431"/>
      <c r="M86" s="431"/>
      <c r="N86" s="431"/>
    </row>
    <row r="87" spans="4:14">
      <c r="D87" s="431"/>
      <c r="E87" s="431"/>
      <c r="F87" s="431"/>
      <c r="G87" s="431"/>
      <c r="H87" s="431"/>
      <c r="I87" s="431"/>
      <c r="J87" s="431"/>
      <c r="K87" s="431"/>
      <c r="L87" s="431"/>
      <c r="M87" s="431"/>
      <c r="N87" s="431"/>
    </row>
    <row r="88" spans="4:14">
      <c r="D88" s="431"/>
      <c r="E88" s="431"/>
      <c r="F88" s="431"/>
      <c r="G88" s="431"/>
      <c r="H88" s="431"/>
      <c r="I88" s="431"/>
      <c r="J88" s="431"/>
      <c r="K88" s="431"/>
      <c r="L88" s="431"/>
      <c r="M88" s="431"/>
      <c r="N88" s="431"/>
    </row>
    <row r="89" spans="4:14">
      <c r="D89" s="431"/>
      <c r="E89" s="431"/>
      <c r="F89" s="431"/>
      <c r="G89" s="431"/>
      <c r="H89" s="431"/>
      <c r="I89" s="431"/>
      <c r="J89" s="431"/>
      <c r="K89" s="431"/>
      <c r="L89" s="431"/>
      <c r="M89" s="431"/>
      <c r="N89" s="431"/>
    </row>
    <row r="90" spans="4:14">
      <c r="D90" s="431"/>
      <c r="E90" s="431"/>
      <c r="F90" s="431"/>
      <c r="G90" s="431"/>
      <c r="H90" s="431"/>
      <c r="I90" s="431"/>
      <c r="J90" s="431"/>
      <c r="K90" s="431"/>
      <c r="L90" s="431"/>
      <c r="M90" s="431"/>
      <c r="N90" s="431"/>
    </row>
    <row r="91" spans="4:14">
      <c r="D91" s="431"/>
      <c r="E91" s="431"/>
      <c r="F91" s="431"/>
      <c r="G91" s="431"/>
      <c r="H91" s="431"/>
      <c r="I91" s="431"/>
      <c r="J91" s="431"/>
      <c r="K91" s="431"/>
      <c r="L91" s="431"/>
      <c r="M91" s="431"/>
      <c r="N91" s="431"/>
    </row>
    <row r="92" spans="4:14">
      <c r="D92" s="431"/>
      <c r="E92" s="431"/>
      <c r="F92" s="431"/>
      <c r="G92" s="431"/>
      <c r="H92" s="431"/>
      <c r="I92" s="431"/>
      <c r="J92" s="431"/>
      <c r="K92" s="431"/>
      <c r="L92" s="431"/>
      <c r="M92" s="431"/>
      <c r="N92" s="431"/>
    </row>
    <row r="93" spans="4:14">
      <c r="D93" s="431"/>
      <c r="E93" s="431"/>
      <c r="F93" s="431"/>
      <c r="G93" s="431"/>
      <c r="H93" s="431"/>
      <c r="I93" s="431"/>
      <c r="J93" s="431"/>
      <c r="K93" s="431"/>
      <c r="L93" s="431"/>
      <c r="M93" s="431"/>
      <c r="N93" s="431"/>
    </row>
    <row r="94" spans="4:14">
      <c r="D94" s="431"/>
      <c r="E94" s="431"/>
      <c r="F94" s="431"/>
      <c r="G94" s="431"/>
      <c r="H94" s="431"/>
      <c r="I94" s="431"/>
      <c r="J94" s="431"/>
      <c r="K94" s="431"/>
      <c r="L94" s="431"/>
      <c r="M94" s="431"/>
      <c r="N94" s="431"/>
    </row>
    <row r="95" spans="4:14">
      <c r="D95" s="431"/>
      <c r="E95" s="431"/>
      <c r="F95" s="431"/>
      <c r="G95" s="431"/>
      <c r="H95" s="431"/>
      <c r="I95" s="431"/>
      <c r="J95" s="431"/>
      <c r="K95" s="431"/>
      <c r="L95" s="431"/>
      <c r="M95" s="431"/>
      <c r="N95" s="431"/>
    </row>
  </sheetData>
  <sheetProtection algorithmName="SHA-512" hashValue="UmVpW7ZO0+foiEbZKOpX1yZ+KzwXY6g2KQEM8F3+9noadZX4kBdCj/9ZbN4wx0F2PQi0M1QgOVAbFhZNQtzTOQ==" saltValue="T+oGuh1OyQQAhsYeOHvxqQ==" spinCount="100000" sheet="1" objects="1" scenarios="1"/>
  <mergeCells count="20">
    <mergeCell ref="A41:B44"/>
    <mergeCell ref="A32:A39"/>
    <mergeCell ref="C4:C5"/>
    <mergeCell ref="C2:M2"/>
    <mergeCell ref="A10:A17"/>
    <mergeCell ref="E40:M40"/>
    <mergeCell ref="F28:M28"/>
    <mergeCell ref="Q4:Y4"/>
    <mergeCell ref="A18:A21"/>
    <mergeCell ref="F30:I30"/>
    <mergeCell ref="K30:M30"/>
    <mergeCell ref="R7:Y7"/>
    <mergeCell ref="R8:U8"/>
    <mergeCell ref="W8:Y8"/>
    <mergeCell ref="Q8:Q9"/>
    <mergeCell ref="F29:M29"/>
    <mergeCell ref="F8:I8"/>
    <mergeCell ref="K8:M8"/>
    <mergeCell ref="E4:M4"/>
    <mergeCell ref="F7:M7"/>
  </mergeCells>
  <conditionalFormatting sqref="E10">
    <cfRule type="colorScale" priority="646">
      <colorScale>
        <cfvo type="num" val="1"/>
        <cfvo type="num" val="4"/>
        <color rgb="FFFFEF9C"/>
        <color rgb="FF63BE7B"/>
      </colorScale>
    </cfRule>
    <cfRule type="iconSet" priority="657">
      <iconSet iconSet="4Rating">
        <cfvo type="percent" val="0"/>
        <cfvo type="num" val="2"/>
        <cfvo type="num" val="3"/>
        <cfvo type="num" val="4"/>
      </iconSet>
    </cfRule>
  </conditionalFormatting>
  <conditionalFormatting sqref="E11">
    <cfRule type="colorScale" priority="642">
      <colorScale>
        <cfvo type="num" val="1"/>
        <cfvo type="num" val="4"/>
        <color rgb="FFFFEF9C"/>
        <color rgb="FF63BE7B"/>
      </colorScale>
    </cfRule>
    <cfRule type="iconSet" priority="643">
      <iconSet iconSet="4Rating">
        <cfvo type="percent" val="0"/>
        <cfvo type="num" val="2"/>
        <cfvo type="num" val="3"/>
        <cfvo type="num" val="4"/>
      </iconSet>
    </cfRule>
  </conditionalFormatting>
  <conditionalFormatting sqref="E12">
    <cfRule type="colorScale" priority="640">
      <colorScale>
        <cfvo type="num" val="1"/>
        <cfvo type="num" val="4"/>
        <color rgb="FFFFEF9C"/>
        <color rgb="FF63BE7B"/>
      </colorScale>
    </cfRule>
    <cfRule type="iconSet" priority="641">
      <iconSet iconSet="4Rating">
        <cfvo type="percent" val="0"/>
        <cfvo type="num" val="2"/>
        <cfvo type="num" val="3"/>
        <cfvo type="num" val="4"/>
      </iconSet>
    </cfRule>
  </conditionalFormatting>
  <conditionalFormatting sqref="E13">
    <cfRule type="colorScale" priority="638">
      <colorScale>
        <cfvo type="num" val="1"/>
        <cfvo type="num" val="4"/>
        <color rgb="FFFFEF9C"/>
        <color rgb="FF63BE7B"/>
      </colorScale>
    </cfRule>
    <cfRule type="iconSet" priority="639">
      <iconSet iconSet="4Rating">
        <cfvo type="percent" val="0"/>
        <cfvo type="num" val="2"/>
        <cfvo type="num" val="3"/>
        <cfvo type="num" val="4"/>
      </iconSet>
    </cfRule>
  </conditionalFormatting>
  <conditionalFormatting sqref="E14">
    <cfRule type="colorScale" priority="594">
      <colorScale>
        <cfvo type="num" val="1"/>
        <cfvo type="num" val="4"/>
        <color rgb="FFFFEF9C"/>
        <color rgb="FF63BE7B"/>
      </colorScale>
    </cfRule>
    <cfRule type="iconSet" priority="595">
      <iconSet iconSet="4Rating">
        <cfvo type="percent" val="0"/>
        <cfvo type="num" val="2"/>
        <cfvo type="num" val="3"/>
        <cfvo type="num" val="4"/>
      </iconSet>
    </cfRule>
  </conditionalFormatting>
  <conditionalFormatting sqref="E15">
    <cfRule type="colorScale" priority="592">
      <colorScale>
        <cfvo type="num" val="1"/>
        <cfvo type="num" val="4"/>
        <color rgb="FFFFEF9C"/>
        <color rgb="FF63BE7B"/>
      </colorScale>
    </cfRule>
    <cfRule type="iconSet" priority="593">
      <iconSet iconSet="4Rating">
        <cfvo type="percent" val="0"/>
        <cfvo type="num" val="2"/>
        <cfvo type="num" val="3"/>
        <cfvo type="num" val="4"/>
      </iconSet>
    </cfRule>
  </conditionalFormatting>
  <conditionalFormatting sqref="E16">
    <cfRule type="colorScale" priority="590">
      <colorScale>
        <cfvo type="num" val="1"/>
        <cfvo type="num" val="4"/>
        <color rgb="FFFFEF9C"/>
        <color rgb="FF63BE7B"/>
      </colorScale>
    </cfRule>
    <cfRule type="iconSet" priority="591">
      <iconSet iconSet="4Rating">
        <cfvo type="percent" val="0"/>
        <cfvo type="num" val="2"/>
        <cfvo type="num" val="3"/>
        <cfvo type="num" val="4"/>
      </iconSet>
    </cfRule>
  </conditionalFormatting>
  <conditionalFormatting sqref="E17">
    <cfRule type="colorScale" priority="552">
      <colorScale>
        <cfvo type="num" val="1"/>
        <cfvo type="num" val="4"/>
        <color rgb="FFFFEF9C"/>
        <color rgb="FF63BE7B"/>
      </colorScale>
    </cfRule>
    <cfRule type="iconSet" priority="553">
      <iconSet iconSet="4Rating">
        <cfvo type="percent" val="0"/>
        <cfvo type="num" val="2"/>
        <cfvo type="num" val="3"/>
        <cfvo type="num" val="4"/>
      </iconSet>
    </cfRule>
  </conditionalFormatting>
  <conditionalFormatting sqref="E18:E20">
    <cfRule type="colorScale" priority="538">
      <colorScale>
        <cfvo type="num" val="1"/>
        <cfvo type="num" val="4"/>
        <color rgb="FFFFEF9C"/>
        <color rgb="FF63BE7B"/>
      </colorScale>
    </cfRule>
    <cfRule type="iconSet" priority="539">
      <iconSet iconSet="4Rating">
        <cfvo type="percent" val="0"/>
        <cfvo type="num" val="2"/>
        <cfvo type="num" val="3"/>
        <cfvo type="num" val="4"/>
      </iconSet>
    </cfRule>
  </conditionalFormatting>
  <conditionalFormatting sqref="F18:F20">
    <cfRule type="iconSet" priority="468">
      <iconSet iconSet="3Arrows" showValue="0">
        <cfvo type="percent" val="0"/>
        <cfvo type="num" val="0"/>
        <cfvo type="num" val="1"/>
      </iconSet>
    </cfRule>
    <cfRule type="colorScale" priority="469">
      <colorScale>
        <cfvo type="num" val="-1"/>
        <cfvo type="num" val="0"/>
        <cfvo type="num" val="1"/>
        <color rgb="FFF8696B"/>
        <color rgb="FFFFEB84"/>
        <color rgb="FF63BE7B"/>
      </colorScale>
    </cfRule>
    <cfRule type="iconSet" priority="470">
      <iconSet iconSet="5Arrows">
        <cfvo type="percent" val="0"/>
        <cfvo type="num" val="-1"/>
        <cfvo type="num" val="0"/>
        <cfvo type="num" val="1"/>
        <cfvo type="num" val="2"/>
      </iconSet>
    </cfRule>
  </conditionalFormatting>
  <conditionalFormatting sqref="E32:E39">
    <cfRule type="colorScale" priority="395">
      <colorScale>
        <cfvo type="num" val="1"/>
        <cfvo type="num" val="4"/>
        <color rgb="FFFFEF9C"/>
        <color rgb="FF63BE7B"/>
      </colorScale>
    </cfRule>
    <cfRule type="iconSet" priority="396">
      <iconSet iconSet="4Rating">
        <cfvo type="percent" val="0"/>
        <cfvo type="num" val="2"/>
        <cfvo type="num" val="3"/>
        <cfvo type="num" val="4"/>
      </iconSet>
    </cfRule>
  </conditionalFormatting>
  <conditionalFormatting sqref="G32">
    <cfRule type="iconSet" priority="378">
      <iconSet iconSet="3Arrows" showValue="0">
        <cfvo type="percent" val="0"/>
        <cfvo type="num" val="0"/>
        <cfvo type="num" val="1"/>
      </iconSet>
    </cfRule>
    <cfRule type="colorScale" priority="397">
      <colorScale>
        <cfvo type="num" val="-1"/>
        <cfvo type="num" val="0"/>
        <cfvo type="num" val="1"/>
        <color rgb="FFF8696B"/>
        <color rgb="FFFFEB84"/>
        <color rgb="FF63BE7B"/>
      </colorScale>
    </cfRule>
    <cfRule type="iconSet" priority="398">
      <iconSet iconSet="5Arrows">
        <cfvo type="percent" val="0"/>
        <cfvo type="num" val="-1"/>
        <cfvo type="num" val="0"/>
        <cfvo type="num" val="1"/>
        <cfvo type="num" val="2"/>
      </iconSet>
    </cfRule>
  </conditionalFormatting>
  <conditionalFormatting sqref="F32:M32">
    <cfRule type="iconSet" priority="372">
      <iconSet iconSet="3Arrows" showValue="0">
        <cfvo type="percent" val="0"/>
        <cfvo type="num" val="0"/>
        <cfvo type="num" val="1"/>
      </iconSet>
    </cfRule>
    <cfRule type="colorScale" priority="373">
      <colorScale>
        <cfvo type="num" val="-1"/>
        <cfvo type="num" val="0"/>
        <cfvo type="num" val="1"/>
        <color rgb="FFF8696B"/>
        <color rgb="FFFFEB84"/>
        <color rgb="FF63BE7B"/>
      </colorScale>
    </cfRule>
    <cfRule type="iconSet" priority="374">
      <iconSet iconSet="5Arrows">
        <cfvo type="percent" val="0"/>
        <cfvo type="num" val="-1"/>
        <cfvo type="num" val="0"/>
        <cfvo type="num" val="1"/>
        <cfvo type="num" val="2"/>
      </iconSet>
    </cfRule>
  </conditionalFormatting>
  <conditionalFormatting sqref="H32:M32">
    <cfRule type="iconSet" priority="399">
      <iconSet iconSet="3Arrows" showValue="0">
        <cfvo type="percent" val="0"/>
        <cfvo type="num" val="0"/>
        <cfvo type="num" val="1"/>
      </iconSet>
    </cfRule>
    <cfRule type="colorScale" priority="400">
      <colorScale>
        <cfvo type="num" val="-1"/>
        <cfvo type="num" val="0"/>
        <cfvo type="num" val="1"/>
        <color rgb="FFF8696B"/>
        <color rgb="FFFFEB84"/>
        <color rgb="FF63BE7B"/>
      </colorScale>
    </cfRule>
    <cfRule type="iconSet" priority="401">
      <iconSet iconSet="5Arrows">
        <cfvo type="percent" val="0"/>
        <cfvo type="num" val="-1"/>
        <cfvo type="num" val="0"/>
        <cfvo type="num" val="1"/>
        <cfvo type="num" val="2"/>
      </iconSet>
    </cfRule>
  </conditionalFormatting>
  <conditionalFormatting sqref="S11:S16">
    <cfRule type="iconSet" priority="339">
      <iconSet iconSet="3Arrows" showValue="0">
        <cfvo type="percent" val="0"/>
        <cfvo type="num" val="0"/>
        <cfvo type="num" val="1"/>
      </iconSet>
    </cfRule>
    <cfRule type="colorScale" priority="340">
      <colorScale>
        <cfvo type="num" val="-1"/>
        <cfvo type="num" val="0"/>
        <cfvo type="num" val="1"/>
        <color rgb="FFF8696B"/>
        <color rgb="FFFFEB84"/>
        <color rgb="FF63BE7B"/>
      </colorScale>
    </cfRule>
    <cfRule type="iconSet" priority="341">
      <iconSet iconSet="5Arrows">
        <cfvo type="percent" val="0"/>
        <cfvo type="num" val="-1"/>
        <cfvo type="num" val="0"/>
        <cfvo type="num" val="1"/>
        <cfvo type="num" val="2"/>
      </iconSet>
    </cfRule>
  </conditionalFormatting>
  <conditionalFormatting sqref="R11:R16">
    <cfRule type="iconSet" priority="333">
      <iconSet iconSet="3Arrows" showValue="0">
        <cfvo type="percent" val="0"/>
        <cfvo type="num" val="0"/>
        <cfvo type="num" val="1"/>
      </iconSet>
    </cfRule>
    <cfRule type="colorScale" priority="334">
      <colorScale>
        <cfvo type="num" val="-1"/>
        <cfvo type="num" val="0"/>
        <cfvo type="num" val="1"/>
        <color rgb="FFF8696B"/>
        <color rgb="FFFFEB84"/>
        <color rgb="FF63BE7B"/>
      </colorScale>
    </cfRule>
    <cfRule type="iconSet" priority="335">
      <iconSet iconSet="5Arrows">
        <cfvo type="percent" val="0"/>
        <cfvo type="num" val="-1"/>
        <cfvo type="num" val="0"/>
        <cfvo type="num" val="1"/>
        <cfvo type="num" val="2"/>
      </iconSet>
    </cfRule>
  </conditionalFormatting>
  <conditionalFormatting sqref="S17">
    <cfRule type="iconSet" priority="330">
      <iconSet iconSet="3Arrows" showValue="0">
        <cfvo type="percent" val="0"/>
        <cfvo type="num" val="0"/>
        <cfvo type="num" val="1"/>
      </iconSet>
    </cfRule>
    <cfRule type="colorScale" priority="331">
      <colorScale>
        <cfvo type="num" val="-1"/>
        <cfvo type="num" val="0"/>
        <cfvo type="num" val="1"/>
        <color rgb="FFF8696B"/>
        <color rgb="FFFFEB84"/>
        <color rgb="FF63BE7B"/>
      </colorScale>
    </cfRule>
    <cfRule type="iconSet" priority="332">
      <iconSet iconSet="5Arrows">
        <cfvo type="percent" val="0"/>
        <cfvo type="num" val="-1"/>
        <cfvo type="num" val="0"/>
        <cfvo type="num" val="1"/>
        <cfvo type="num" val="2"/>
      </iconSet>
    </cfRule>
  </conditionalFormatting>
  <conditionalFormatting sqref="R17">
    <cfRule type="iconSet" priority="327">
      <iconSet iconSet="3Arrows" showValue="0">
        <cfvo type="percent" val="0"/>
        <cfvo type="num" val="0"/>
        <cfvo type="num" val="1"/>
      </iconSet>
    </cfRule>
    <cfRule type="colorScale" priority="328">
      <colorScale>
        <cfvo type="num" val="-1"/>
        <cfvo type="num" val="0"/>
        <cfvo type="num" val="1"/>
        <color rgb="FFF8696B"/>
        <color rgb="FFFFEB84"/>
        <color rgb="FF63BE7B"/>
      </colorScale>
    </cfRule>
    <cfRule type="iconSet" priority="329">
      <iconSet iconSet="5Arrows">
        <cfvo type="percent" val="0"/>
        <cfvo type="num" val="-1"/>
        <cfvo type="num" val="0"/>
        <cfvo type="num" val="1"/>
        <cfvo type="num" val="2"/>
      </iconSet>
    </cfRule>
  </conditionalFormatting>
  <conditionalFormatting sqref="S18:S20">
    <cfRule type="iconSet" priority="324">
      <iconSet iconSet="3Arrows" showValue="0">
        <cfvo type="percent" val="0"/>
        <cfvo type="num" val="0"/>
        <cfvo type="num" val="1"/>
      </iconSet>
    </cfRule>
    <cfRule type="colorScale" priority="325">
      <colorScale>
        <cfvo type="num" val="-1"/>
        <cfvo type="num" val="0"/>
        <cfvo type="num" val="1"/>
        <color rgb="FFF8696B"/>
        <color rgb="FFFFEB84"/>
        <color rgb="FF63BE7B"/>
      </colorScale>
    </cfRule>
    <cfRule type="iconSet" priority="326">
      <iconSet iconSet="5Arrows">
        <cfvo type="percent" val="0"/>
        <cfvo type="num" val="-1"/>
        <cfvo type="num" val="0"/>
        <cfvo type="num" val="1"/>
        <cfvo type="num" val="2"/>
      </iconSet>
    </cfRule>
  </conditionalFormatting>
  <conditionalFormatting sqref="R18:R20">
    <cfRule type="iconSet" priority="321">
      <iconSet iconSet="3Arrows" showValue="0">
        <cfvo type="percent" val="0"/>
        <cfvo type="num" val="0"/>
        <cfvo type="num" val="1"/>
      </iconSet>
    </cfRule>
    <cfRule type="colorScale" priority="322">
      <colorScale>
        <cfvo type="num" val="-1"/>
        <cfvo type="num" val="0"/>
        <cfvo type="num" val="1"/>
        <color rgb="FFF8696B"/>
        <color rgb="FFFFEB84"/>
        <color rgb="FF63BE7B"/>
      </colorScale>
    </cfRule>
    <cfRule type="iconSet" priority="323">
      <iconSet iconSet="5Arrows">
        <cfvo type="percent" val="0"/>
        <cfvo type="num" val="-1"/>
        <cfvo type="num" val="0"/>
        <cfvo type="num" val="1"/>
        <cfvo type="num" val="2"/>
      </iconSet>
    </cfRule>
  </conditionalFormatting>
  <conditionalFormatting sqref="T11:Y16">
    <cfRule type="iconSet" priority="348">
      <iconSet iconSet="3Arrows" showValue="0">
        <cfvo type="percent" val="0"/>
        <cfvo type="num" val="0"/>
        <cfvo type="num" val="1"/>
      </iconSet>
    </cfRule>
    <cfRule type="colorScale" priority="349">
      <colorScale>
        <cfvo type="num" val="-1"/>
        <cfvo type="num" val="0"/>
        <cfvo type="num" val="1"/>
        <color rgb="FFF8696B"/>
        <color rgb="FFFFEB84"/>
        <color rgb="FF63BE7B"/>
      </colorScale>
    </cfRule>
    <cfRule type="iconSet" priority="350">
      <iconSet iconSet="5Arrows">
        <cfvo type="percent" val="0"/>
        <cfvo type="num" val="-1"/>
        <cfvo type="num" val="0"/>
        <cfvo type="num" val="1"/>
        <cfvo type="num" val="2"/>
      </iconSet>
    </cfRule>
  </conditionalFormatting>
  <conditionalFormatting sqref="T17:Y17">
    <cfRule type="iconSet" priority="351">
      <iconSet iconSet="3Arrows" showValue="0">
        <cfvo type="percent" val="0"/>
        <cfvo type="num" val="0"/>
        <cfvo type="num" val="1"/>
      </iconSet>
    </cfRule>
    <cfRule type="colorScale" priority="352">
      <colorScale>
        <cfvo type="num" val="-1"/>
        <cfvo type="num" val="0"/>
        <cfvo type="num" val="1"/>
        <color rgb="FFF8696B"/>
        <color rgb="FFFFEB84"/>
        <color rgb="FF63BE7B"/>
      </colorScale>
    </cfRule>
    <cfRule type="iconSet" priority="353">
      <iconSet iconSet="5Arrows">
        <cfvo type="percent" val="0"/>
        <cfvo type="num" val="-1"/>
        <cfvo type="num" val="0"/>
        <cfvo type="num" val="1"/>
        <cfvo type="num" val="2"/>
      </iconSet>
    </cfRule>
  </conditionalFormatting>
  <conditionalFormatting sqref="T18:Y20">
    <cfRule type="iconSet" priority="354">
      <iconSet iconSet="3Arrows" showValue="0">
        <cfvo type="percent" val="0"/>
        <cfvo type="num" val="0"/>
        <cfvo type="num" val="1"/>
      </iconSet>
    </cfRule>
    <cfRule type="colorScale" priority="355">
      <colorScale>
        <cfvo type="num" val="-1"/>
        <cfvo type="num" val="0"/>
        <cfvo type="num" val="1"/>
        <color rgb="FFF8696B"/>
        <color rgb="FFFFEB84"/>
        <color rgb="FF63BE7B"/>
      </colorScale>
    </cfRule>
    <cfRule type="iconSet" priority="356">
      <iconSet iconSet="5Arrows">
        <cfvo type="percent" val="0"/>
        <cfvo type="num" val="-1"/>
        <cfvo type="num" val="0"/>
        <cfvo type="num" val="1"/>
        <cfvo type="num" val="2"/>
      </iconSet>
    </cfRule>
  </conditionalFormatting>
  <conditionalFormatting sqref="S10">
    <cfRule type="iconSet" priority="315">
      <iconSet iconSet="3Arrows" showValue="0">
        <cfvo type="percent" val="0"/>
        <cfvo type="num" val="0"/>
        <cfvo type="num" val="1"/>
      </iconSet>
    </cfRule>
    <cfRule type="colorScale" priority="316">
      <colorScale>
        <cfvo type="num" val="-1"/>
        <cfvo type="num" val="0"/>
        <cfvo type="num" val="1"/>
        <color rgb="FFF8696B"/>
        <color rgb="FFFFEB84"/>
        <color rgb="FF63BE7B"/>
      </colorScale>
    </cfRule>
    <cfRule type="iconSet" priority="317">
      <iconSet iconSet="5Arrows">
        <cfvo type="percent" val="0"/>
        <cfvo type="num" val="-1"/>
        <cfvo type="num" val="0"/>
        <cfvo type="num" val="1"/>
        <cfvo type="num" val="2"/>
      </iconSet>
    </cfRule>
  </conditionalFormatting>
  <conditionalFormatting sqref="R10">
    <cfRule type="iconSet" priority="312">
      <iconSet iconSet="3Arrows" showValue="0">
        <cfvo type="percent" val="0"/>
        <cfvo type="num" val="0"/>
        <cfvo type="num" val="1"/>
      </iconSet>
    </cfRule>
    <cfRule type="colorScale" priority="313">
      <colorScale>
        <cfvo type="num" val="-1"/>
        <cfvo type="num" val="0"/>
        <cfvo type="num" val="1"/>
        <color rgb="FFF8696B"/>
        <color rgb="FFFFEB84"/>
        <color rgb="FF63BE7B"/>
      </colorScale>
    </cfRule>
    <cfRule type="iconSet" priority="314">
      <iconSet iconSet="5Arrows">
        <cfvo type="percent" val="0"/>
        <cfvo type="num" val="-1"/>
        <cfvo type="num" val="0"/>
        <cfvo type="num" val="1"/>
        <cfvo type="num" val="2"/>
      </iconSet>
    </cfRule>
  </conditionalFormatting>
  <conditionalFormatting sqref="T10:Y10">
    <cfRule type="iconSet" priority="318">
      <iconSet iconSet="3Arrows" showValue="0">
        <cfvo type="percent" val="0"/>
        <cfvo type="num" val="0"/>
        <cfvo type="num" val="1"/>
      </iconSet>
    </cfRule>
    <cfRule type="colorScale" priority="319">
      <colorScale>
        <cfvo type="num" val="-1"/>
        <cfvo type="num" val="0"/>
        <cfvo type="num" val="1"/>
        <color rgb="FFF8696B"/>
        <color rgb="FFFFEB84"/>
        <color rgb="FF63BE7B"/>
      </colorScale>
    </cfRule>
    <cfRule type="iconSet" priority="320">
      <iconSet iconSet="5Arrows">
        <cfvo type="percent" val="0"/>
        <cfvo type="num" val="-1"/>
        <cfvo type="num" val="0"/>
        <cfvo type="num" val="1"/>
        <cfvo type="num" val="2"/>
      </iconSet>
    </cfRule>
  </conditionalFormatting>
  <conditionalFormatting sqref="G33">
    <cfRule type="iconSet" priority="258">
      <iconSet iconSet="3Arrows" showValue="0">
        <cfvo type="percent" val="0"/>
        <cfvo type="num" val="0"/>
        <cfvo type="num" val="1"/>
      </iconSet>
    </cfRule>
    <cfRule type="colorScale" priority="259">
      <colorScale>
        <cfvo type="num" val="-1"/>
        <cfvo type="num" val="0"/>
        <cfvo type="num" val="1"/>
        <color rgb="FFF8696B"/>
        <color rgb="FFFFEB84"/>
        <color rgb="FF63BE7B"/>
      </colorScale>
    </cfRule>
    <cfRule type="iconSet" priority="260">
      <iconSet iconSet="5Arrows">
        <cfvo type="percent" val="0"/>
        <cfvo type="num" val="-1"/>
        <cfvo type="num" val="0"/>
        <cfvo type="num" val="1"/>
        <cfvo type="num" val="2"/>
      </iconSet>
    </cfRule>
  </conditionalFormatting>
  <conditionalFormatting sqref="H33:M33">
    <cfRule type="iconSet" priority="261">
      <iconSet iconSet="3Arrows" showValue="0">
        <cfvo type="percent" val="0"/>
        <cfvo type="num" val="0"/>
        <cfvo type="num" val="1"/>
      </iconSet>
    </cfRule>
    <cfRule type="colorScale" priority="262">
      <colorScale>
        <cfvo type="num" val="-1"/>
        <cfvo type="num" val="0"/>
        <cfvo type="num" val="1"/>
        <color rgb="FFF8696B"/>
        <color rgb="FFFFEB84"/>
        <color rgb="FF63BE7B"/>
      </colorScale>
    </cfRule>
    <cfRule type="iconSet" priority="263">
      <iconSet iconSet="5Arrows">
        <cfvo type="percent" val="0"/>
        <cfvo type="num" val="-1"/>
        <cfvo type="num" val="0"/>
        <cfvo type="num" val="1"/>
        <cfvo type="num" val="2"/>
      </iconSet>
    </cfRule>
  </conditionalFormatting>
  <conditionalFormatting sqref="E41">
    <cfRule type="colorScale" priority="237">
      <colorScale>
        <cfvo type="num" val="1"/>
        <cfvo type="num" val="4"/>
        <color rgb="FFFFEF9C"/>
        <color rgb="FF63BE7B"/>
      </colorScale>
    </cfRule>
    <cfRule type="iconSet" priority="238">
      <iconSet iconSet="4Rating">
        <cfvo type="percent" val="0"/>
        <cfvo type="num" val="2"/>
        <cfvo type="num" val="3"/>
        <cfvo type="num" val="4"/>
      </iconSet>
    </cfRule>
  </conditionalFormatting>
  <conditionalFormatting sqref="E42">
    <cfRule type="colorScale" priority="233">
      <colorScale>
        <cfvo type="num" val="1"/>
        <cfvo type="num" val="4"/>
        <color rgb="FFFFEF9C"/>
        <color rgb="FF63BE7B"/>
      </colorScale>
    </cfRule>
    <cfRule type="iconSet" priority="234">
      <iconSet iconSet="4Rating">
        <cfvo type="percent" val="0"/>
        <cfvo type="num" val="2"/>
        <cfvo type="num" val="3"/>
        <cfvo type="num" val="4"/>
      </iconSet>
    </cfRule>
  </conditionalFormatting>
  <conditionalFormatting sqref="E43">
    <cfRule type="colorScale" priority="231">
      <colorScale>
        <cfvo type="num" val="1"/>
        <cfvo type="num" val="4"/>
        <color rgb="FFFFEF9C"/>
        <color rgb="FF63BE7B"/>
      </colorScale>
    </cfRule>
    <cfRule type="iconSet" priority="232">
      <iconSet iconSet="4Rating">
        <cfvo type="percent" val="0"/>
        <cfvo type="num" val="2"/>
        <cfvo type="num" val="3"/>
        <cfvo type="num" val="4"/>
      </iconSet>
    </cfRule>
  </conditionalFormatting>
  <conditionalFormatting sqref="G18:M20">
    <cfRule type="iconSet" priority="225">
      <iconSet iconSet="3Arrows" showValue="0">
        <cfvo type="percent" val="0"/>
        <cfvo type="num" val="0"/>
        <cfvo type="num" val="1"/>
      </iconSet>
    </cfRule>
    <cfRule type="colorScale" priority="226">
      <colorScale>
        <cfvo type="num" val="-1"/>
        <cfvo type="num" val="0"/>
        <cfvo type="num" val="1"/>
        <color rgb="FFF8696B"/>
        <color rgb="FFFFEB84"/>
        <color rgb="FF63BE7B"/>
      </colorScale>
    </cfRule>
    <cfRule type="iconSet" priority="227">
      <iconSet iconSet="5Arrows">
        <cfvo type="percent" val="0"/>
        <cfvo type="num" val="-1"/>
        <cfvo type="num" val="0"/>
        <cfvo type="num" val="1"/>
        <cfvo type="num" val="2"/>
      </iconSet>
    </cfRule>
  </conditionalFormatting>
  <conditionalFormatting sqref="F10:M10">
    <cfRule type="iconSet" priority="162">
      <iconSet iconSet="3Arrows" showValue="0">
        <cfvo type="percent" val="0"/>
        <cfvo type="num" val="0"/>
        <cfvo type="num" val="1"/>
      </iconSet>
    </cfRule>
    <cfRule type="colorScale" priority="163">
      <colorScale>
        <cfvo type="num" val="-1"/>
        <cfvo type="num" val="0"/>
        <cfvo type="num" val="1"/>
        <color rgb="FFF8696B"/>
        <color rgb="FFFFEB84"/>
        <color rgb="FF63BE7B"/>
      </colorScale>
    </cfRule>
    <cfRule type="iconSet" priority="164">
      <iconSet iconSet="5Arrows">
        <cfvo type="percent" val="0"/>
        <cfvo type="num" val="-1"/>
        <cfvo type="num" val="0"/>
        <cfvo type="num" val="1"/>
        <cfvo type="num" val="2"/>
      </iconSet>
    </cfRule>
  </conditionalFormatting>
  <conditionalFormatting sqref="F32:M32">
    <cfRule type="expression" dxfId="5" priority="138">
      <formula>($D32&lt;&gt;" ")</formula>
    </cfRule>
  </conditionalFormatting>
  <conditionalFormatting sqref="G33:M33">
    <cfRule type="expression" dxfId="4" priority="126">
      <formula>($D33&lt;&gt;" ")</formula>
    </cfRule>
  </conditionalFormatting>
  <conditionalFormatting sqref="F11:M11">
    <cfRule type="iconSet" priority="23">
      <iconSet iconSet="3Arrows" showValue="0">
        <cfvo type="percent" val="0"/>
        <cfvo type="num" val="0"/>
        <cfvo type="num" val="1"/>
      </iconSet>
    </cfRule>
    <cfRule type="colorScale" priority="24">
      <colorScale>
        <cfvo type="num" val="-1"/>
        <cfvo type="num" val="0"/>
        <cfvo type="num" val="1"/>
        <color rgb="FFF8696B"/>
        <color rgb="FFFFEB84"/>
        <color rgb="FF63BE7B"/>
      </colorScale>
    </cfRule>
    <cfRule type="iconSet" priority="25">
      <iconSet iconSet="5Arrows">
        <cfvo type="percent" val="0"/>
        <cfvo type="num" val="-1"/>
        <cfvo type="num" val="0"/>
        <cfvo type="num" val="1"/>
        <cfvo type="num" val="2"/>
      </iconSet>
    </cfRule>
  </conditionalFormatting>
  <conditionalFormatting sqref="F12:M12">
    <cfRule type="iconSet" priority="20">
      <iconSet iconSet="3Arrows" showValue="0">
        <cfvo type="percent" val="0"/>
        <cfvo type="num" val="0"/>
        <cfvo type="num" val="1"/>
      </iconSet>
    </cfRule>
    <cfRule type="colorScale" priority="21">
      <colorScale>
        <cfvo type="num" val="-1"/>
        <cfvo type="num" val="0"/>
        <cfvo type="num" val="1"/>
        <color rgb="FFF8696B"/>
        <color rgb="FFFFEB84"/>
        <color rgb="FF63BE7B"/>
      </colorScale>
    </cfRule>
    <cfRule type="iconSet" priority="22">
      <iconSet iconSet="5Arrows">
        <cfvo type="percent" val="0"/>
        <cfvo type="num" val="-1"/>
        <cfvo type="num" val="0"/>
        <cfvo type="num" val="1"/>
        <cfvo type="num" val="2"/>
      </iconSet>
    </cfRule>
  </conditionalFormatting>
  <conditionalFormatting sqref="F13:M17">
    <cfRule type="iconSet" priority="17">
      <iconSet iconSet="3Arrows" showValue="0">
        <cfvo type="percent" val="0"/>
        <cfvo type="num" val="0"/>
        <cfvo type="num" val="1"/>
      </iconSet>
    </cfRule>
    <cfRule type="colorScale" priority="18">
      <colorScale>
        <cfvo type="num" val="-1"/>
        <cfvo type="num" val="0"/>
        <cfvo type="num" val="1"/>
        <color rgb="FFF8696B"/>
        <color rgb="FFFFEB84"/>
        <color rgb="FF63BE7B"/>
      </colorScale>
    </cfRule>
    <cfRule type="iconSet" priority="19">
      <iconSet iconSet="5Arrows">
        <cfvo type="percent" val="0"/>
        <cfvo type="num" val="-1"/>
        <cfvo type="num" val="0"/>
        <cfvo type="num" val="1"/>
        <cfvo type="num" val="2"/>
      </iconSet>
    </cfRule>
  </conditionalFormatting>
  <conditionalFormatting sqref="F33">
    <cfRule type="iconSet" priority="14">
      <iconSet iconSet="3Arrows" showValue="0">
        <cfvo type="percent" val="0"/>
        <cfvo type="num" val="0"/>
        <cfvo type="num" val="1"/>
      </iconSet>
    </cfRule>
    <cfRule type="colorScale" priority="15">
      <colorScale>
        <cfvo type="num" val="-1"/>
        <cfvo type="num" val="0"/>
        <cfvo type="num" val="1"/>
        <color rgb="FFF8696B"/>
        <color rgb="FFFFEB84"/>
        <color rgb="FF63BE7B"/>
      </colorScale>
    </cfRule>
    <cfRule type="iconSet" priority="16">
      <iconSet iconSet="5Arrows">
        <cfvo type="percent" val="0"/>
        <cfvo type="num" val="-1"/>
        <cfvo type="num" val="0"/>
        <cfvo type="num" val="1"/>
        <cfvo type="num" val="2"/>
      </iconSet>
    </cfRule>
  </conditionalFormatting>
  <conditionalFormatting sqref="F33">
    <cfRule type="expression" dxfId="3" priority="13">
      <formula>($D33&lt;&gt;" ")</formula>
    </cfRule>
  </conditionalFormatting>
  <conditionalFormatting sqref="F34:M39">
    <cfRule type="iconSet" priority="10">
      <iconSet iconSet="3Arrows" showValue="0">
        <cfvo type="percent" val="0"/>
        <cfvo type="num" val="0"/>
        <cfvo type="num" val="1"/>
      </iconSet>
    </cfRule>
    <cfRule type="colorScale" priority="11">
      <colorScale>
        <cfvo type="num" val="-1"/>
        <cfvo type="num" val="0"/>
        <cfvo type="num" val="1"/>
        <color rgb="FFF8696B"/>
        <color rgb="FFFFEB84"/>
        <color rgb="FF63BE7B"/>
      </colorScale>
    </cfRule>
    <cfRule type="iconSet" priority="12">
      <iconSet iconSet="5Arrows">
        <cfvo type="percent" val="0"/>
        <cfvo type="num" val="-1"/>
        <cfvo type="num" val="0"/>
        <cfvo type="num" val="1"/>
        <cfvo type="num" val="2"/>
      </iconSet>
    </cfRule>
  </conditionalFormatting>
  <conditionalFormatting sqref="F34:M39">
    <cfRule type="expression" dxfId="2" priority="9">
      <formula>($D34&lt;&gt;" ")</formula>
    </cfRule>
  </conditionalFormatting>
  <conditionalFormatting sqref="F41:M41">
    <cfRule type="iconSet" priority="6">
      <iconSet iconSet="3Arrows" showValue="0">
        <cfvo type="percent" val="0"/>
        <cfvo type="num" val="0"/>
        <cfvo type="num" val="1"/>
      </iconSet>
    </cfRule>
    <cfRule type="colorScale" priority="7">
      <colorScale>
        <cfvo type="num" val="-1"/>
        <cfvo type="num" val="0"/>
        <cfvo type="num" val="1"/>
        <color rgb="FFF8696B"/>
        <color rgb="FFFFEB84"/>
        <color rgb="FF63BE7B"/>
      </colorScale>
    </cfRule>
    <cfRule type="iconSet" priority="8">
      <iconSet iconSet="5Arrows">
        <cfvo type="percent" val="0"/>
        <cfvo type="num" val="-1"/>
        <cfvo type="num" val="0"/>
        <cfvo type="num" val="1"/>
        <cfvo type="num" val="2"/>
      </iconSet>
    </cfRule>
  </conditionalFormatting>
  <conditionalFormatting sqref="F41:M41">
    <cfRule type="expression" dxfId="1" priority="5">
      <formula>($D41&lt;&gt;" ")</formula>
    </cfRule>
  </conditionalFormatting>
  <conditionalFormatting sqref="F42:M43">
    <cfRule type="iconSet" priority="2">
      <iconSet iconSet="3Arrows" showValue="0">
        <cfvo type="percent" val="0"/>
        <cfvo type="num" val="0"/>
        <cfvo type="num" val="1"/>
      </iconSet>
    </cfRule>
    <cfRule type="colorScale" priority="3">
      <colorScale>
        <cfvo type="num" val="-1"/>
        <cfvo type="num" val="0"/>
        <cfvo type="num" val="1"/>
        <color rgb="FFF8696B"/>
        <color rgb="FFFFEB84"/>
        <color rgb="FF63BE7B"/>
      </colorScale>
    </cfRule>
    <cfRule type="iconSet" priority="4">
      <iconSet iconSet="5Arrows">
        <cfvo type="percent" val="0"/>
        <cfvo type="num" val="-1"/>
        <cfvo type="num" val="0"/>
        <cfvo type="num" val="1"/>
        <cfvo type="num" val="2"/>
      </iconSet>
    </cfRule>
  </conditionalFormatting>
  <conditionalFormatting sqref="F42:M43">
    <cfRule type="expression" dxfId="0" priority="1">
      <formula>($D42&lt;&gt;" ")</formula>
    </cfRule>
  </conditionalFormatting>
  <dataValidations count="3">
    <dataValidation showInputMessage="1" sqref="D10:D20 D41:D43 D32:D39" xr:uid="{00000000-0002-0000-0500-000000000000}"/>
    <dataValidation type="list" allowBlank="1" showInputMessage="1" showErrorMessage="1" sqref="F32:M32 G34:M39 F33:F39 F41:M43" xr:uid="{00000000-0002-0000-0500-000001000000}">
      <formula1>$AJ$10:$AJ$12</formula1>
    </dataValidation>
    <dataValidation type="list" allowBlank="1" showInputMessage="1" showErrorMessage="1" sqref="G33:M33" xr:uid="{00000000-0002-0000-0500-000002000000}">
      <formula1>#REF!</formula1>
    </dataValidation>
  </dataValidations>
  <pageMargins left="0.7" right="0.7" top="0.75" bottom="0.75" header="0.3" footer="0.3"/>
  <pageSetup paperSize="9" orientation="portrait"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6251" r:id="rId4" name="Check Box 171">
              <controlPr locked="0" defaultSize="0" autoFill="0" autoLine="0" autoPict="0">
                <anchor moveWithCells="1">
                  <from>
                    <xdr:col>4</xdr:col>
                    <xdr:colOff>406400</xdr:colOff>
                    <xdr:row>9</xdr:row>
                    <xdr:rowOff>12700</xdr:rowOff>
                  </from>
                  <to>
                    <xdr:col>4</xdr:col>
                    <xdr:colOff>736600</xdr:colOff>
                    <xdr:row>10</xdr:row>
                    <xdr:rowOff>44450</xdr:rowOff>
                  </to>
                </anchor>
              </controlPr>
            </control>
          </mc:Choice>
        </mc:AlternateContent>
        <mc:AlternateContent xmlns:mc="http://schemas.openxmlformats.org/markup-compatibility/2006">
          <mc:Choice Requires="x14">
            <control shapeId="46252" r:id="rId5" name="Check Box 172">
              <controlPr locked="0" defaultSize="0" autoFill="0" autoLine="0" autoPict="0">
                <anchor moveWithCells="1">
                  <from>
                    <xdr:col>4</xdr:col>
                    <xdr:colOff>406400</xdr:colOff>
                    <xdr:row>10</xdr:row>
                    <xdr:rowOff>12700</xdr:rowOff>
                  </from>
                  <to>
                    <xdr:col>4</xdr:col>
                    <xdr:colOff>736600</xdr:colOff>
                    <xdr:row>11</xdr:row>
                    <xdr:rowOff>44450</xdr:rowOff>
                  </to>
                </anchor>
              </controlPr>
            </control>
          </mc:Choice>
        </mc:AlternateContent>
        <mc:AlternateContent xmlns:mc="http://schemas.openxmlformats.org/markup-compatibility/2006">
          <mc:Choice Requires="x14">
            <control shapeId="46253" r:id="rId6" name="Check Box 173">
              <controlPr locked="0" defaultSize="0" autoFill="0" autoLine="0" autoPict="0">
                <anchor moveWithCells="1">
                  <from>
                    <xdr:col>4</xdr:col>
                    <xdr:colOff>406400</xdr:colOff>
                    <xdr:row>11</xdr:row>
                    <xdr:rowOff>12700</xdr:rowOff>
                  </from>
                  <to>
                    <xdr:col>4</xdr:col>
                    <xdr:colOff>736600</xdr:colOff>
                    <xdr:row>12</xdr:row>
                    <xdr:rowOff>44450</xdr:rowOff>
                  </to>
                </anchor>
              </controlPr>
            </control>
          </mc:Choice>
        </mc:AlternateContent>
        <mc:AlternateContent xmlns:mc="http://schemas.openxmlformats.org/markup-compatibility/2006">
          <mc:Choice Requires="x14">
            <control shapeId="46254" r:id="rId7" name="Check Box 174">
              <controlPr locked="0" defaultSize="0" autoFill="0" autoLine="0" autoPict="0">
                <anchor moveWithCells="1">
                  <from>
                    <xdr:col>4</xdr:col>
                    <xdr:colOff>406400</xdr:colOff>
                    <xdr:row>12</xdr:row>
                    <xdr:rowOff>12700</xdr:rowOff>
                  </from>
                  <to>
                    <xdr:col>4</xdr:col>
                    <xdr:colOff>736600</xdr:colOff>
                    <xdr:row>13</xdr:row>
                    <xdr:rowOff>44450</xdr:rowOff>
                  </to>
                </anchor>
              </controlPr>
            </control>
          </mc:Choice>
        </mc:AlternateContent>
        <mc:AlternateContent xmlns:mc="http://schemas.openxmlformats.org/markup-compatibility/2006">
          <mc:Choice Requires="x14">
            <control shapeId="46255" r:id="rId8" name="Check Box 175">
              <controlPr locked="0" defaultSize="0" autoFill="0" autoLine="0" autoPict="0">
                <anchor moveWithCells="1">
                  <from>
                    <xdr:col>4</xdr:col>
                    <xdr:colOff>406400</xdr:colOff>
                    <xdr:row>13</xdr:row>
                    <xdr:rowOff>12700</xdr:rowOff>
                  </from>
                  <to>
                    <xdr:col>4</xdr:col>
                    <xdr:colOff>736600</xdr:colOff>
                    <xdr:row>14</xdr:row>
                    <xdr:rowOff>44450</xdr:rowOff>
                  </to>
                </anchor>
              </controlPr>
            </control>
          </mc:Choice>
        </mc:AlternateContent>
        <mc:AlternateContent xmlns:mc="http://schemas.openxmlformats.org/markup-compatibility/2006">
          <mc:Choice Requires="x14">
            <control shapeId="46256" r:id="rId9" name="Check Box 176">
              <controlPr locked="0" defaultSize="0" autoFill="0" autoLine="0" autoPict="0">
                <anchor moveWithCells="1">
                  <from>
                    <xdr:col>4</xdr:col>
                    <xdr:colOff>406400</xdr:colOff>
                    <xdr:row>14</xdr:row>
                    <xdr:rowOff>12700</xdr:rowOff>
                  </from>
                  <to>
                    <xdr:col>4</xdr:col>
                    <xdr:colOff>736600</xdr:colOff>
                    <xdr:row>15</xdr:row>
                    <xdr:rowOff>44450</xdr:rowOff>
                  </to>
                </anchor>
              </controlPr>
            </control>
          </mc:Choice>
        </mc:AlternateContent>
        <mc:AlternateContent xmlns:mc="http://schemas.openxmlformats.org/markup-compatibility/2006">
          <mc:Choice Requires="x14">
            <control shapeId="46257" r:id="rId10" name="Check Box 177">
              <controlPr locked="0" defaultSize="0" autoFill="0" autoLine="0" autoPict="0">
                <anchor moveWithCells="1">
                  <from>
                    <xdr:col>4</xdr:col>
                    <xdr:colOff>406400</xdr:colOff>
                    <xdr:row>15</xdr:row>
                    <xdr:rowOff>12700</xdr:rowOff>
                  </from>
                  <to>
                    <xdr:col>4</xdr:col>
                    <xdr:colOff>736600</xdr:colOff>
                    <xdr:row>16</xdr:row>
                    <xdr:rowOff>44450</xdr:rowOff>
                  </to>
                </anchor>
              </controlPr>
            </control>
          </mc:Choice>
        </mc:AlternateContent>
        <mc:AlternateContent xmlns:mc="http://schemas.openxmlformats.org/markup-compatibility/2006">
          <mc:Choice Requires="x14">
            <control shapeId="46258" r:id="rId11" name="Check Box 178">
              <controlPr locked="0" defaultSize="0" autoFill="0" autoLine="0" autoPict="0">
                <anchor moveWithCells="1">
                  <from>
                    <xdr:col>4</xdr:col>
                    <xdr:colOff>406400</xdr:colOff>
                    <xdr:row>16</xdr:row>
                    <xdr:rowOff>12700</xdr:rowOff>
                  </from>
                  <to>
                    <xdr:col>4</xdr:col>
                    <xdr:colOff>736600</xdr:colOff>
                    <xdr:row>17</xdr:row>
                    <xdr:rowOff>44450</xdr:rowOff>
                  </to>
                </anchor>
              </controlPr>
            </control>
          </mc:Choice>
        </mc:AlternateContent>
        <mc:AlternateContent xmlns:mc="http://schemas.openxmlformats.org/markup-compatibility/2006">
          <mc:Choice Requires="x14">
            <control shapeId="46404" r:id="rId12" name="Check Box 324">
              <controlPr locked="0" defaultSize="0" autoFill="0" autoLine="0" autoPict="0">
                <anchor moveWithCells="1">
                  <from>
                    <xdr:col>2</xdr:col>
                    <xdr:colOff>406400</xdr:colOff>
                    <xdr:row>10</xdr:row>
                    <xdr:rowOff>12700</xdr:rowOff>
                  </from>
                  <to>
                    <xdr:col>2</xdr:col>
                    <xdr:colOff>736600</xdr:colOff>
                    <xdr:row>11</xdr:row>
                    <xdr:rowOff>44450</xdr:rowOff>
                  </to>
                </anchor>
              </controlPr>
            </control>
          </mc:Choice>
        </mc:AlternateContent>
        <mc:AlternateContent xmlns:mc="http://schemas.openxmlformats.org/markup-compatibility/2006">
          <mc:Choice Requires="x14">
            <control shapeId="46405" r:id="rId13" name="Check Box 325">
              <controlPr locked="0" defaultSize="0" autoFill="0" autoLine="0" autoPict="0">
                <anchor moveWithCells="1">
                  <from>
                    <xdr:col>2</xdr:col>
                    <xdr:colOff>406400</xdr:colOff>
                    <xdr:row>11</xdr:row>
                    <xdr:rowOff>12700</xdr:rowOff>
                  </from>
                  <to>
                    <xdr:col>2</xdr:col>
                    <xdr:colOff>736600</xdr:colOff>
                    <xdr:row>12</xdr:row>
                    <xdr:rowOff>44450</xdr:rowOff>
                  </to>
                </anchor>
              </controlPr>
            </control>
          </mc:Choice>
        </mc:AlternateContent>
        <mc:AlternateContent xmlns:mc="http://schemas.openxmlformats.org/markup-compatibility/2006">
          <mc:Choice Requires="x14">
            <control shapeId="46406" r:id="rId14" name="Check Box 326">
              <controlPr locked="0" defaultSize="0" autoFill="0" autoLine="0" autoPict="0">
                <anchor moveWithCells="1">
                  <from>
                    <xdr:col>2</xdr:col>
                    <xdr:colOff>406400</xdr:colOff>
                    <xdr:row>12</xdr:row>
                    <xdr:rowOff>12700</xdr:rowOff>
                  </from>
                  <to>
                    <xdr:col>2</xdr:col>
                    <xdr:colOff>736600</xdr:colOff>
                    <xdr:row>13</xdr:row>
                    <xdr:rowOff>44450</xdr:rowOff>
                  </to>
                </anchor>
              </controlPr>
            </control>
          </mc:Choice>
        </mc:AlternateContent>
        <mc:AlternateContent xmlns:mc="http://schemas.openxmlformats.org/markup-compatibility/2006">
          <mc:Choice Requires="x14">
            <control shapeId="46407" r:id="rId15" name="Check Box 327">
              <controlPr locked="0" defaultSize="0" autoFill="0" autoLine="0" autoPict="0">
                <anchor moveWithCells="1">
                  <from>
                    <xdr:col>2</xdr:col>
                    <xdr:colOff>406400</xdr:colOff>
                    <xdr:row>13</xdr:row>
                    <xdr:rowOff>12700</xdr:rowOff>
                  </from>
                  <to>
                    <xdr:col>2</xdr:col>
                    <xdr:colOff>736600</xdr:colOff>
                    <xdr:row>14</xdr:row>
                    <xdr:rowOff>44450</xdr:rowOff>
                  </to>
                </anchor>
              </controlPr>
            </control>
          </mc:Choice>
        </mc:AlternateContent>
        <mc:AlternateContent xmlns:mc="http://schemas.openxmlformats.org/markup-compatibility/2006">
          <mc:Choice Requires="x14">
            <control shapeId="46408" r:id="rId16" name="Check Box 328">
              <controlPr locked="0" defaultSize="0" autoFill="0" autoLine="0" autoPict="0">
                <anchor moveWithCells="1">
                  <from>
                    <xdr:col>2</xdr:col>
                    <xdr:colOff>406400</xdr:colOff>
                    <xdr:row>14</xdr:row>
                    <xdr:rowOff>12700</xdr:rowOff>
                  </from>
                  <to>
                    <xdr:col>2</xdr:col>
                    <xdr:colOff>736600</xdr:colOff>
                    <xdr:row>15</xdr:row>
                    <xdr:rowOff>44450</xdr:rowOff>
                  </to>
                </anchor>
              </controlPr>
            </control>
          </mc:Choice>
        </mc:AlternateContent>
        <mc:AlternateContent xmlns:mc="http://schemas.openxmlformats.org/markup-compatibility/2006">
          <mc:Choice Requires="x14">
            <control shapeId="46409" r:id="rId17" name="Check Box 329">
              <controlPr locked="0" defaultSize="0" autoFill="0" autoLine="0" autoPict="0">
                <anchor moveWithCells="1">
                  <from>
                    <xdr:col>2</xdr:col>
                    <xdr:colOff>406400</xdr:colOff>
                    <xdr:row>15</xdr:row>
                    <xdr:rowOff>12700</xdr:rowOff>
                  </from>
                  <to>
                    <xdr:col>2</xdr:col>
                    <xdr:colOff>736600</xdr:colOff>
                    <xdr:row>16</xdr:row>
                    <xdr:rowOff>44450</xdr:rowOff>
                  </to>
                </anchor>
              </controlPr>
            </control>
          </mc:Choice>
        </mc:AlternateContent>
        <mc:AlternateContent xmlns:mc="http://schemas.openxmlformats.org/markup-compatibility/2006">
          <mc:Choice Requires="x14">
            <control shapeId="46410" r:id="rId18" name="Check Box 330">
              <controlPr locked="0" defaultSize="0" autoFill="0" autoLine="0" autoPict="0">
                <anchor moveWithCells="1">
                  <from>
                    <xdr:col>2</xdr:col>
                    <xdr:colOff>406400</xdr:colOff>
                    <xdr:row>16</xdr:row>
                    <xdr:rowOff>12700</xdr:rowOff>
                  </from>
                  <to>
                    <xdr:col>2</xdr:col>
                    <xdr:colOff>736600</xdr:colOff>
                    <xdr:row>17</xdr:row>
                    <xdr:rowOff>44450</xdr:rowOff>
                  </to>
                </anchor>
              </controlPr>
            </control>
          </mc:Choice>
        </mc:AlternateContent>
        <mc:AlternateContent xmlns:mc="http://schemas.openxmlformats.org/markup-compatibility/2006">
          <mc:Choice Requires="x14">
            <control shapeId="46403" r:id="rId19" name="Check Box 323">
              <controlPr locked="0" defaultSize="0" autoFill="0" autoLine="0" autoPict="0">
                <anchor moveWithCells="1">
                  <from>
                    <xdr:col>2</xdr:col>
                    <xdr:colOff>406400</xdr:colOff>
                    <xdr:row>9</xdr:row>
                    <xdr:rowOff>12700</xdr:rowOff>
                  </from>
                  <to>
                    <xdr:col>2</xdr:col>
                    <xdr:colOff>736600</xdr:colOff>
                    <xdr:row>10</xdr:row>
                    <xdr:rowOff>44450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U41"/>
  <sheetViews>
    <sheetView showGridLines="0" showRowColHeaders="0" zoomScale="70" zoomScaleNormal="70" workbookViewId="0">
      <selection activeCell="F4" sqref="F4"/>
    </sheetView>
  </sheetViews>
  <sheetFormatPr defaultRowHeight="14.5"/>
  <cols>
    <col min="6" max="6" width="7.54296875" customWidth="1"/>
    <col min="7" max="7" width="10" customWidth="1"/>
    <col min="8" max="8" width="14.54296875" customWidth="1"/>
    <col min="9" max="9" width="1.6328125" customWidth="1"/>
    <col min="10" max="10" width="8.1796875" customWidth="1"/>
    <col min="11" max="11" width="12.36328125" customWidth="1"/>
  </cols>
  <sheetData>
    <row r="1" spans="1:21" ht="19.5" customHeight="1">
      <c r="A1" s="499" t="s">
        <v>422</v>
      </c>
    </row>
    <row r="2" spans="1:21" ht="25" customHeight="1">
      <c r="A2" s="507" t="s">
        <v>398</v>
      </c>
    </row>
    <row r="4" spans="1:21" ht="78" customHeight="1">
      <c r="H4" s="508" t="s">
        <v>425</v>
      </c>
      <c r="J4" s="663" t="s">
        <v>424</v>
      </c>
      <c r="K4" s="663"/>
    </row>
    <row r="5" spans="1:21">
      <c r="H5" s="502" t="s">
        <v>403</v>
      </c>
      <c r="J5" s="502" t="s">
        <v>403</v>
      </c>
    </row>
    <row r="6" spans="1:21" ht="29.5" thickBot="1">
      <c r="H6" s="2" t="s">
        <v>402</v>
      </c>
      <c r="J6" s="514" t="s">
        <v>399</v>
      </c>
      <c r="K6" t="s">
        <v>400</v>
      </c>
      <c r="L6" t="s">
        <v>401</v>
      </c>
    </row>
    <row r="7" spans="1:21" ht="64.5" customHeight="1" thickBot="1">
      <c r="A7" s="515" t="s">
        <v>404</v>
      </c>
      <c r="B7" s="516"/>
      <c r="C7" s="516"/>
      <c r="D7" s="516"/>
      <c r="E7" s="516"/>
      <c r="F7" s="517"/>
      <c r="G7" s="518" t="s">
        <v>44</v>
      </c>
      <c r="H7" s="529"/>
      <c r="I7" s="501"/>
      <c r="J7" s="519">
        <v>138</v>
      </c>
      <c r="K7" s="501" t="s">
        <v>68</v>
      </c>
      <c r="L7" s="655" t="s">
        <v>418</v>
      </c>
      <c r="M7" s="655"/>
      <c r="N7" s="655"/>
      <c r="O7" s="655"/>
      <c r="P7" s="655"/>
      <c r="Q7" s="655"/>
      <c r="R7" s="655"/>
      <c r="S7" s="655"/>
      <c r="T7" s="656"/>
      <c r="U7" s="503" t="s">
        <v>385</v>
      </c>
    </row>
    <row r="8" spans="1:21" ht="15" thickBot="1"/>
    <row r="9" spans="1:21">
      <c r="A9" s="657" t="s">
        <v>405</v>
      </c>
      <c r="B9" s="658"/>
      <c r="C9" s="658"/>
      <c r="D9" s="658"/>
      <c r="E9" s="658"/>
      <c r="F9" s="520"/>
      <c r="G9" s="521" t="s">
        <v>140</v>
      </c>
      <c r="H9" s="530"/>
      <c r="I9" s="125"/>
      <c r="J9" s="522">
        <v>0.24</v>
      </c>
      <c r="K9" s="125"/>
      <c r="L9" s="672" t="s">
        <v>416</v>
      </c>
      <c r="M9" s="672"/>
      <c r="N9" s="672"/>
      <c r="O9" s="672"/>
      <c r="P9" s="672"/>
      <c r="Q9" s="672"/>
      <c r="R9" s="672"/>
      <c r="S9" s="672"/>
      <c r="T9" s="673"/>
    </row>
    <row r="10" spans="1:21">
      <c r="A10" s="659"/>
      <c r="B10" s="660"/>
      <c r="C10" s="660"/>
      <c r="D10" s="660"/>
      <c r="E10" s="660"/>
      <c r="F10" s="512"/>
      <c r="G10" s="513" t="s">
        <v>1</v>
      </c>
      <c r="H10" s="531"/>
      <c r="J10" s="523">
        <v>0.26</v>
      </c>
      <c r="L10" s="633"/>
      <c r="M10" s="633"/>
      <c r="N10" s="633"/>
      <c r="O10" s="633"/>
      <c r="P10" s="633"/>
      <c r="Q10" s="633"/>
      <c r="R10" s="633"/>
      <c r="S10" s="633"/>
      <c r="T10" s="674"/>
    </row>
    <row r="11" spans="1:21" ht="15" thickBot="1">
      <c r="A11" s="661"/>
      <c r="B11" s="662"/>
      <c r="C11" s="662"/>
      <c r="D11" s="662"/>
      <c r="E11" s="662"/>
      <c r="F11" s="524"/>
      <c r="G11" s="525" t="s">
        <v>2</v>
      </c>
      <c r="H11" s="532"/>
      <c r="I11" s="87"/>
      <c r="J11" s="526">
        <v>0.28000000000000003</v>
      </c>
      <c r="L11" s="633"/>
      <c r="M11" s="633"/>
      <c r="N11" s="633"/>
      <c r="O11" s="633"/>
      <c r="P11" s="633"/>
      <c r="Q11" s="633"/>
      <c r="R11" s="633"/>
      <c r="S11" s="633"/>
      <c r="T11" s="674"/>
    </row>
    <row r="12" spans="1:21" ht="15" thickBot="1">
      <c r="A12" s="89"/>
      <c r="L12" s="633"/>
      <c r="M12" s="633"/>
      <c r="N12" s="633"/>
      <c r="O12" s="633"/>
      <c r="P12" s="633"/>
      <c r="Q12" s="633"/>
      <c r="R12" s="633"/>
      <c r="S12" s="633"/>
      <c r="T12" s="674"/>
    </row>
    <row r="13" spans="1:21">
      <c r="A13" s="657" t="s">
        <v>406</v>
      </c>
      <c r="B13" s="658"/>
      <c r="C13" s="658"/>
      <c r="D13" s="658"/>
      <c r="E13" s="658"/>
      <c r="F13" s="520"/>
      <c r="G13" s="521" t="s">
        <v>140</v>
      </c>
      <c r="H13" s="530"/>
      <c r="I13" s="125"/>
      <c r="J13" s="522">
        <v>7.0000000000000007E-2</v>
      </c>
      <c r="L13" s="633"/>
      <c r="M13" s="633"/>
      <c r="N13" s="633"/>
      <c r="O13" s="633"/>
      <c r="P13" s="633"/>
      <c r="Q13" s="633"/>
      <c r="R13" s="633"/>
      <c r="S13" s="633"/>
      <c r="T13" s="674"/>
    </row>
    <row r="14" spans="1:21">
      <c r="A14" s="659"/>
      <c r="B14" s="660"/>
      <c r="C14" s="660"/>
      <c r="D14" s="660"/>
      <c r="E14" s="660"/>
      <c r="F14" s="512"/>
      <c r="G14" s="513" t="s">
        <v>1</v>
      </c>
      <c r="H14" s="531"/>
      <c r="J14" s="523">
        <v>0.08</v>
      </c>
      <c r="L14" s="633"/>
      <c r="M14" s="633"/>
      <c r="N14" s="633"/>
      <c r="O14" s="633"/>
      <c r="P14" s="633"/>
      <c r="Q14" s="633"/>
      <c r="R14" s="633"/>
      <c r="S14" s="633"/>
      <c r="T14" s="674"/>
    </row>
    <row r="15" spans="1:21" ht="15" thickBot="1">
      <c r="A15" s="661"/>
      <c r="B15" s="662"/>
      <c r="C15" s="662"/>
      <c r="D15" s="662"/>
      <c r="E15" s="662"/>
      <c r="F15" s="524"/>
      <c r="G15" s="525" t="s">
        <v>2</v>
      </c>
      <c r="H15" s="532"/>
      <c r="I15" s="87"/>
      <c r="J15" s="526">
        <v>0.1</v>
      </c>
      <c r="L15" s="633"/>
      <c r="M15" s="633"/>
      <c r="N15" s="633"/>
      <c r="O15" s="633"/>
      <c r="P15" s="633"/>
      <c r="Q15" s="633"/>
      <c r="R15" s="633"/>
      <c r="S15" s="633"/>
      <c r="T15" s="674"/>
    </row>
    <row r="16" spans="1:21" ht="15" thickBot="1">
      <c r="A16" s="89"/>
      <c r="L16" s="633"/>
      <c r="M16" s="633"/>
      <c r="N16" s="633"/>
      <c r="O16" s="633"/>
      <c r="P16" s="633"/>
      <c r="Q16" s="633"/>
      <c r="R16" s="633"/>
      <c r="S16" s="633"/>
      <c r="T16" s="674"/>
    </row>
    <row r="17" spans="1:21">
      <c r="A17" s="657" t="s">
        <v>407</v>
      </c>
      <c r="B17" s="658"/>
      <c r="C17" s="658"/>
      <c r="D17" s="658"/>
      <c r="E17" s="658"/>
      <c r="F17" s="520"/>
      <c r="G17" s="521" t="s">
        <v>140</v>
      </c>
      <c r="H17" s="530"/>
      <c r="I17" s="125"/>
      <c r="J17" s="522">
        <v>0.15</v>
      </c>
      <c r="L17" s="633"/>
      <c r="M17" s="633"/>
      <c r="N17" s="633"/>
      <c r="O17" s="633"/>
      <c r="P17" s="633"/>
      <c r="Q17" s="633"/>
      <c r="R17" s="633"/>
      <c r="S17" s="633"/>
      <c r="T17" s="674"/>
    </row>
    <row r="18" spans="1:21">
      <c r="A18" s="659"/>
      <c r="B18" s="660"/>
      <c r="C18" s="660"/>
      <c r="D18" s="660"/>
      <c r="E18" s="660"/>
      <c r="F18" s="512"/>
      <c r="G18" s="513" t="s">
        <v>1</v>
      </c>
      <c r="H18" s="531"/>
      <c r="J18" s="523">
        <v>0.16</v>
      </c>
      <c r="L18" s="633"/>
      <c r="M18" s="633"/>
      <c r="N18" s="633"/>
      <c r="O18" s="633"/>
      <c r="P18" s="633"/>
      <c r="Q18" s="633"/>
      <c r="R18" s="633"/>
      <c r="S18" s="633"/>
      <c r="T18" s="674"/>
    </row>
    <row r="19" spans="1:21" ht="15" thickBot="1">
      <c r="A19" s="661"/>
      <c r="B19" s="662"/>
      <c r="C19" s="662"/>
      <c r="D19" s="662"/>
      <c r="E19" s="662"/>
      <c r="F19" s="524"/>
      <c r="G19" s="525" t="s">
        <v>2</v>
      </c>
      <c r="H19" s="532"/>
      <c r="I19" s="87"/>
      <c r="J19" s="526">
        <v>0.18</v>
      </c>
      <c r="L19" s="633"/>
      <c r="M19" s="633"/>
      <c r="N19" s="633"/>
      <c r="O19" s="633"/>
      <c r="P19" s="633"/>
      <c r="Q19" s="633"/>
      <c r="R19" s="633"/>
      <c r="S19" s="633"/>
      <c r="T19" s="674"/>
    </row>
    <row r="20" spans="1:21" ht="15" thickBot="1">
      <c r="A20" s="89"/>
      <c r="L20" s="633"/>
      <c r="M20" s="633"/>
      <c r="N20" s="633"/>
      <c r="O20" s="633"/>
      <c r="P20" s="633"/>
      <c r="Q20" s="633"/>
      <c r="R20" s="633"/>
      <c r="S20" s="633"/>
      <c r="T20" s="674"/>
    </row>
    <row r="21" spans="1:21">
      <c r="A21" s="657" t="s">
        <v>408</v>
      </c>
      <c r="B21" s="658"/>
      <c r="C21" s="658"/>
      <c r="D21" s="658"/>
      <c r="E21" s="658"/>
      <c r="F21" s="520"/>
      <c r="G21" s="521" t="s">
        <v>140</v>
      </c>
      <c r="H21" s="530"/>
      <c r="I21" s="125"/>
      <c r="J21" s="522">
        <v>0.5</v>
      </c>
      <c r="L21" s="633"/>
      <c r="M21" s="633"/>
      <c r="N21" s="633"/>
      <c r="O21" s="633"/>
      <c r="P21" s="633"/>
      <c r="Q21" s="633"/>
      <c r="R21" s="633"/>
      <c r="S21" s="633"/>
      <c r="T21" s="674"/>
    </row>
    <row r="22" spans="1:21">
      <c r="A22" s="659"/>
      <c r="B22" s="660"/>
      <c r="C22" s="660"/>
      <c r="D22" s="660"/>
      <c r="E22" s="660"/>
      <c r="F22" s="512"/>
      <c r="G22" s="513" t="s">
        <v>1</v>
      </c>
      <c r="H22" s="531"/>
      <c r="J22" s="523">
        <v>0.45</v>
      </c>
      <c r="L22" s="633"/>
      <c r="M22" s="633"/>
      <c r="N22" s="633"/>
      <c r="O22" s="633"/>
      <c r="P22" s="633"/>
      <c r="Q22" s="633"/>
      <c r="R22" s="633"/>
      <c r="S22" s="633"/>
      <c r="T22" s="674"/>
    </row>
    <row r="23" spans="1:21" ht="15" thickBot="1">
      <c r="A23" s="661"/>
      <c r="B23" s="662"/>
      <c r="C23" s="662"/>
      <c r="D23" s="662"/>
      <c r="E23" s="662"/>
      <c r="F23" s="524"/>
      <c r="G23" s="525" t="s">
        <v>2</v>
      </c>
      <c r="H23" s="532"/>
      <c r="I23" s="87"/>
      <c r="J23" s="526">
        <v>0.4</v>
      </c>
      <c r="K23" s="87"/>
      <c r="L23" s="675"/>
      <c r="M23" s="675"/>
      <c r="N23" s="675"/>
      <c r="O23" s="675"/>
      <c r="P23" s="675"/>
      <c r="Q23" s="675"/>
      <c r="R23" s="675"/>
      <c r="S23" s="675"/>
      <c r="T23" s="676"/>
    </row>
    <row r="24" spans="1:21" ht="15" thickBot="1"/>
    <row r="25" spans="1:21" ht="31" customHeight="1" thickBot="1">
      <c r="A25" s="686" t="s">
        <v>409</v>
      </c>
      <c r="B25" s="687"/>
      <c r="C25" s="687"/>
      <c r="D25" s="687"/>
      <c r="E25" s="687"/>
      <c r="F25" s="517"/>
      <c r="G25" s="518" t="s">
        <v>44</v>
      </c>
      <c r="H25" s="533"/>
      <c r="I25" s="501"/>
      <c r="J25" s="528">
        <v>0.9</v>
      </c>
      <c r="K25" s="501"/>
      <c r="L25" s="677" t="s">
        <v>417</v>
      </c>
      <c r="M25" s="677"/>
      <c r="N25" s="677"/>
      <c r="O25" s="677"/>
      <c r="P25" s="677"/>
      <c r="Q25" s="677"/>
      <c r="R25" s="677"/>
      <c r="S25" s="677"/>
      <c r="T25" s="678"/>
      <c r="U25" s="469" t="s">
        <v>385</v>
      </c>
    </row>
    <row r="26" spans="1:21" ht="15" thickBot="1"/>
    <row r="27" spans="1:21">
      <c r="A27" s="657" t="s">
        <v>413</v>
      </c>
      <c r="B27" s="658"/>
      <c r="C27" s="658"/>
      <c r="D27" s="658"/>
      <c r="E27" s="683"/>
      <c r="F27" s="511" t="s">
        <v>410</v>
      </c>
      <c r="G27" s="679" t="s">
        <v>0</v>
      </c>
      <c r="H27" s="530"/>
      <c r="I27" s="125"/>
      <c r="J27" s="522">
        <v>0.46</v>
      </c>
      <c r="K27" s="125"/>
      <c r="L27" s="666" t="s">
        <v>415</v>
      </c>
      <c r="M27" s="666"/>
      <c r="N27" s="666"/>
      <c r="O27" s="666"/>
      <c r="P27" s="666"/>
      <c r="Q27" s="666"/>
      <c r="R27" s="666"/>
      <c r="S27" s="666"/>
      <c r="T27" s="667"/>
    </row>
    <row r="28" spans="1:21">
      <c r="A28" s="659"/>
      <c r="B28" s="660"/>
      <c r="C28" s="660"/>
      <c r="D28" s="660"/>
      <c r="E28" s="684"/>
      <c r="F28" s="509" t="s">
        <v>411</v>
      </c>
      <c r="G28" s="680"/>
      <c r="H28" s="531"/>
      <c r="J28" s="523">
        <v>0.26</v>
      </c>
      <c r="L28" s="668"/>
      <c r="M28" s="668"/>
      <c r="N28" s="668"/>
      <c r="O28" s="668"/>
      <c r="P28" s="668"/>
      <c r="Q28" s="668"/>
      <c r="R28" s="668"/>
      <c r="S28" s="668"/>
      <c r="T28" s="669"/>
    </row>
    <row r="29" spans="1:21" ht="15" thickBot="1">
      <c r="A29" s="659"/>
      <c r="B29" s="660"/>
      <c r="C29" s="660"/>
      <c r="D29" s="660"/>
      <c r="E29" s="684"/>
      <c r="F29" s="510" t="s">
        <v>412</v>
      </c>
      <c r="G29" s="680"/>
      <c r="H29" s="531"/>
      <c r="I29" s="87"/>
      <c r="J29" s="523">
        <v>0.28000000000000003</v>
      </c>
      <c r="L29" s="668"/>
      <c r="M29" s="668"/>
      <c r="N29" s="668"/>
      <c r="O29" s="668"/>
      <c r="P29" s="668"/>
      <c r="Q29" s="668"/>
      <c r="R29" s="668"/>
      <c r="S29" s="668"/>
      <c r="T29" s="669"/>
    </row>
    <row r="30" spans="1:21">
      <c r="A30" s="659"/>
      <c r="B30" s="660"/>
      <c r="C30" s="660"/>
      <c r="D30" s="660"/>
      <c r="E30" s="684"/>
      <c r="F30" s="511" t="s">
        <v>410</v>
      </c>
      <c r="G30" s="681" t="s">
        <v>1</v>
      </c>
      <c r="H30" s="531"/>
      <c r="I30" s="125"/>
      <c r="J30" s="523">
        <v>0.37</v>
      </c>
      <c r="L30" s="668"/>
      <c r="M30" s="668"/>
      <c r="N30" s="668"/>
      <c r="O30" s="668"/>
      <c r="P30" s="668"/>
      <c r="Q30" s="668"/>
      <c r="R30" s="668"/>
      <c r="S30" s="668"/>
      <c r="T30" s="669"/>
    </row>
    <row r="31" spans="1:21">
      <c r="A31" s="659"/>
      <c r="B31" s="660"/>
      <c r="C31" s="660"/>
      <c r="D31" s="660"/>
      <c r="E31" s="684"/>
      <c r="F31" s="509" t="s">
        <v>411</v>
      </c>
      <c r="G31" s="681"/>
      <c r="H31" s="531"/>
      <c r="J31" s="523">
        <v>0.2</v>
      </c>
      <c r="L31" s="668"/>
      <c r="M31" s="668"/>
      <c r="N31" s="668"/>
      <c r="O31" s="668"/>
      <c r="P31" s="668"/>
      <c r="Q31" s="668"/>
      <c r="R31" s="668"/>
      <c r="S31" s="668"/>
      <c r="T31" s="669"/>
    </row>
    <row r="32" spans="1:21" ht="15" thickBot="1">
      <c r="A32" s="659"/>
      <c r="B32" s="660"/>
      <c r="C32" s="660"/>
      <c r="D32" s="660"/>
      <c r="E32" s="684"/>
      <c r="F32" s="510" t="s">
        <v>412</v>
      </c>
      <c r="G32" s="681"/>
      <c r="H32" s="531"/>
      <c r="I32" s="87"/>
      <c r="J32" s="523">
        <v>0.43</v>
      </c>
      <c r="L32" s="668"/>
      <c r="M32" s="668"/>
      <c r="N32" s="668"/>
      <c r="O32" s="668"/>
      <c r="P32" s="668"/>
      <c r="Q32" s="668"/>
      <c r="R32" s="668"/>
      <c r="S32" s="668"/>
      <c r="T32" s="669"/>
    </row>
    <row r="33" spans="1:20">
      <c r="A33" s="659"/>
      <c r="B33" s="660"/>
      <c r="C33" s="660"/>
      <c r="D33" s="660"/>
      <c r="E33" s="684"/>
      <c r="F33" s="511" t="s">
        <v>410</v>
      </c>
      <c r="G33" s="680" t="s">
        <v>2</v>
      </c>
      <c r="H33" s="531"/>
      <c r="I33" s="125"/>
      <c r="J33" s="523">
        <v>0.24</v>
      </c>
      <c r="L33" s="668"/>
      <c r="M33" s="668"/>
      <c r="N33" s="668"/>
      <c r="O33" s="668"/>
      <c r="P33" s="668"/>
      <c r="Q33" s="668"/>
      <c r="R33" s="668"/>
      <c r="S33" s="668"/>
      <c r="T33" s="669"/>
    </row>
    <row r="34" spans="1:20">
      <c r="A34" s="659"/>
      <c r="B34" s="660"/>
      <c r="C34" s="660"/>
      <c r="D34" s="660"/>
      <c r="E34" s="684"/>
      <c r="F34" s="509" t="s">
        <v>411</v>
      </c>
      <c r="G34" s="680"/>
      <c r="H34" s="531"/>
      <c r="J34" s="523">
        <v>0.26</v>
      </c>
      <c r="L34" s="668"/>
      <c r="M34" s="668"/>
      <c r="N34" s="668"/>
      <c r="O34" s="668"/>
      <c r="P34" s="668"/>
      <c r="Q34" s="668"/>
      <c r="R34" s="668"/>
      <c r="S34" s="668"/>
      <c r="T34" s="669"/>
    </row>
    <row r="35" spans="1:20" ht="15" thickBot="1">
      <c r="A35" s="661"/>
      <c r="B35" s="662"/>
      <c r="C35" s="662"/>
      <c r="D35" s="662"/>
      <c r="E35" s="685"/>
      <c r="F35" s="510" t="s">
        <v>412</v>
      </c>
      <c r="G35" s="682"/>
      <c r="H35" s="532"/>
      <c r="I35" s="87"/>
      <c r="J35" s="526">
        <v>0.5</v>
      </c>
      <c r="K35" s="87"/>
      <c r="L35" s="670"/>
      <c r="M35" s="670"/>
      <c r="N35" s="670"/>
      <c r="O35" s="670"/>
      <c r="P35" s="670"/>
      <c r="Q35" s="670"/>
      <c r="R35" s="670"/>
      <c r="S35" s="670"/>
      <c r="T35" s="671"/>
    </row>
    <row r="38" spans="1:20" ht="15" thickBot="1"/>
    <row r="39" spans="1:20" ht="27.5" customHeight="1" thickBot="1">
      <c r="A39" s="664" t="s">
        <v>420</v>
      </c>
      <c r="B39" s="665"/>
      <c r="C39" s="665"/>
      <c r="D39" s="665"/>
      <c r="E39" s="665"/>
      <c r="F39" s="517"/>
      <c r="G39" s="518" t="s">
        <v>44</v>
      </c>
      <c r="H39" s="529"/>
      <c r="I39" s="501"/>
      <c r="J39" s="527">
        <v>10</v>
      </c>
      <c r="K39" s="125" t="s">
        <v>76</v>
      </c>
      <c r="L39" s="666" t="s">
        <v>423</v>
      </c>
      <c r="M39" s="666"/>
      <c r="N39" s="666"/>
      <c r="O39" s="666"/>
      <c r="P39" s="666"/>
      <c r="Q39" s="666"/>
      <c r="R39" s="666"/>
      <c r="S39" s="666"/>
      <c r="T39" s="667"/>
    </row>
    <row r="40" spans="1:20" ht="30" customHeight="1" thickBot="1">
      <c r="A40" s="89"/>
      <c r="L40" s="668"/>
      <c r="M40" s="668"/>
      <c r="N40" s="668"/>
      <c r="O40" s="668"/>
      <c r="P40" s="668"/>
      <c r="Q40" s="668"/>
      <c r="R40" s="668"/>
      <c r="S40" s="668"/>
      <c r="T40" s="669"/>
    </row>
    <row r="41" spans="1:20" ht="27.5" customHeight="1" thickBot="1">
      <c r="A41" s="664" t="s">
        <v>421</v>
      </c>
      <c r="B41" s="665"/>
      <c r="C41" s="665"/>
      <c r="D41" s="665"/>
      <c r="E41" s="665"/>
      <c r="F41" s="517"/>
      <c r="G41" s="518" t="s">
        <v>44</v>
      </c>
      <c r="H41" s="529"/>
      <c r="I41" s="501"/>
      <c r="J41" s="527">
        <v>690</v>
      </c>
      <c r="K41" s="87" t="s">
        <v>76</v>
      </c>
      <c r="L41" s="670"/>
      <c r="M41" s="670"/>
      <c r="N41" s="670"/>
      <c r="O41" s="670"/>
      <c r="P41" s="670"/>
      <c r="Q41" s="670"/>
      <c r="R41" s="670"/>
      <c r="S41" s="670"/>
      <c r="T41" s="671"/>
    </row>
  </sheetData>
  <sheetProtection algorithmName="SHA-512" hashValue="JnoedeOGBiQtkliWZtou1wuDbzwoBhBRnaXuq6D2J88XDw4UihBaLYdE7tAVZeiIijs6hX976rfpUIk8MpUi+w==" saltValue="XswHrhybloNFfgdvprabkg==" spinCount="100000" sheet="1" objects="1" scenarios="1"/>
  <mergeCells count="17">
    <mergeCell ref="A39:E39"/>
    <mergeCell ref="A41:E41"/>
    <mergeCell ref="L39:T41"/>
    <mergeCell ref="L27:T35"/>
    <mergeCell ref="L9:T23"/>
    <mergeCell ref="L25:T25"/>
    <mergeCell ref="G27:G29"/>
    <mergeCell ref="G30:G32"/>
    <mergeCell ref="G33:G35"/>
    <mergeCell ref="A27:E35"/>
    <mergeCell ref="A21:E23"/>
    <mergeCell ref="A25:E25"/>
    <mergeCell ref="L7:T7"/>
    <mergeCell ref="A9:E11"/>
    <mergeCell ref="A13:E15"/>
    <mergeCell ref="A17:E19"/>
    <mergeCell ref="J4:K4"/>
  </mergeCells>
  <pageMargins left="0.7" right="0.7"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dimension ref="A1:JU1048576"/>
  <sheetViews>
    <sheetView topLeftCell="A4" zoomScale="55" zoomScaleNormal="55" workbookViewId="0">
      <selection activeCell="H9" sqref="H9"/>
    </sheetView>
  </sheetViews>
  <sheetFormatPr defaultRowHeight="14.5"/>
  <cols>
    <col min="6" max="6" width="10.453125" customWidth="1"/>
    <col min="7" max="7" width="10.7265625" customWidth="1"/>
    <col min="8" max="8" width="10.81640625" bestFit="1" customWidth="1"/>
    <col min="10" max="10" width="8.7265625" customWidth="1"/>
    <col min="12" max="14" width="9.7265625" customWidth="1"/>
    <col min="15" max="15" width="9.36328125" customWidth="1"/>
    <col min="16" max="16" width="11.1796875" customWidth="1"/>
    <col min="20" max="20" width="10.26953125" customWidth="1"/>
    <col min="24" max="24" width="11.1796875" customWidth="1"/>
    <col min="25" max="25" width="10.6328125" customWidth="1"/>
    <col min="26" max="26" width="8.7265625" customWidth="1"/>
    <col min="37" max="37" width="9.54296875" customWidth="1"/>
    <col min="41" max="41" width="14.26953125" customWidth="1"/>
    <col min="52" max="52" width="8.7265625" customWidth="1"/>
    <col min="53" max="53" width="9.36328125" customWidth="1"/>
    <col min="54" max="55" width="8.36328125" customWidth="1"/>
    <col min="79" max="79" width="16.453125" customWidth="1"/>
    <col min="80" max="86" width="12.6328125" customWidth="1"/>
    <col min="88" max="88" width="17.81640625" customWidth="1"/>
    <col min="101" max="101" width="9" customWidth="1"/>
    <col min="110" max="110" width="10" customWidth="1"/>
    <col min="133" max="140" width="10.90625" customWidth="1"/>
    <col min="151" max="151" width="17.81640625" customWidth="1"/>
    <col min="152" max="153" width="28.7265625" customWidth="1"/>
    <col min="154" max="156" width="11.26953125" customWidth="1"/>
    <col min="157" max="158" width="11.7265625" customWidth="1"/>
    <col min="168" max="168" width="20.26953125" customWidth="1"/>
    <col min="169" max="171" width="8.7265625" customWidth="1"/>
    <col min="183" max="183" width="20.26953125" customWidth="1"/>
    <col min="198" max="198" width="20.26953125" customWidth="1"/>
    <col min="199" max="200" width="10.26953125" customWidth="1"/>
    <col min="213" max="213" width="20.26953125" customWidth="1"/>
    <col min="217" max="217" width="10.90625" customWidth="1"/>
    <col min="228" max="228" width="20.26953125" customWidth="1"/>
    <col min="232" max="232" width="10.7265625" customWidth="1"/>
    <col min="243" max="243" width="20.26953125" customWidth="1"/>
    <col min="258" max="258" width="20.26953125" customWidth="1"/>
    <col min="260" max="260" width="10.54296875" customWidth="1"/>
    <col min="261" max="262" width="10.26953125" customWidth="1"/>
    <col min="263" max="263" width="9.7265625" customWidth="1"/>
    <col min="264" max="264" width="9.6328125" customWidth="1"/>
    <col min="267" max="267" width="9" customWidth="1"/>
  </cols>
  <sheetData>
    <row r="1" spans="1:279" ht="15" thickBot="1">
      <c r="A1" s="246" t="s">
        <v>160</v>
      </c>
      <c r="B1" s="247"/>
      <c r="C1" s="247"/>
      <c r="D1" s="247"/>
      <c r="E1" s="247"/>
      <c r="F1" s="247"/>
      <c r="H1" s="309" t="s">
        <v>146</v>
      </c>
      <c r="I1" s="310" t="s">
        <v>147</v>
      </c>
      <c r="J1" s="311" t="s">
        <v>148</v>
      </c>
      <c r="L1" s="713" t="s">
        <v>229</v>
      </c>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O1" s="714" t="s">
        <v>230</v>
      </c>
      <c r="AP1" s="715"/>
      <c r="AQ1" s="715"/>
      <c r="AR1" s="715"/>
      <c r="AS1" s="715"/>
      <c r="AT1" s="715"/>
      <c r="AU1" s="715"/>
      <c r="AV1" s="715"/>
      <c r="AW1" s="715"/>
      <c r="AX1" s="715"/>
      <c r="AY1" s="715"/>
      <c r="AZ1" s="715"/>
      <c r="BA1" s="715"/>
      <c r="BB1" s="715"/>
      <c r="BC1" s="715"/>
      <c r="BD1" s="715"/>
      <c r="BE1" s="715"/>
      <c r="BF1" s="715"/>
      <c r="BG1" s="715"/>
      <c r="BH1" s="715"/>
      <c r="BI1" s="715"/>
      <c r="BJ1" s="715"/>
      <c r="BK1" s="715"/>
      <c r="BL1" s="715"/>
      <c r="BM1" s="715"/>
      <c r="BN1" s="715"/>
      <c r="BO1" s="715"/>
      <c r="BP1" s="715"/>
      <c r="BQ1" s="715"/>
      <c r="BR1" s="715"/>
      <c r="BS1" s="715"/>
      <c r="BT1" s="715"/>
      <c r="BU1" s="715"/>
      <c r="BV1" s="715"/>
      <c r="BW1" s="716"/>
      <c r="BX1" s="387">
        <f>A35</f>
        <v>0.8</v>
      </c>
      <c r="BY1" s="387">
        <f>A35</f>
        <v>0.8</v>
      </c>
      <c r="BZ1" s="2"/>
      <c r="EY1" s="349">
        <f>'1 StrategyMix for CarbonTargets'!V46</f>
        <v>0.8</v>
      </c>
      <c r="EZ1" s="371">
        <f t="shared" ref="EZ1:FK1" si="0">EY1+0.0001</f>
        <v>0.80010000000000003</v>
      </c>
      <c r="FA1" s="371">
        <f t="shared" si="0"/>
        <v>0.80020000000000002</v>
      </c>
      <c r="FB1" s="371">
        <f t="shared" si="0"/>
        <v>0.80030000000000001</v>
      </c>
      <c r="FC1" s="371">
        <f t="shared" si="0"/>
        <v>0.8004</v>
      </c>
      <c r="FD1" s="371">
        <f t="shared" si="0"/>
        <v>0.80049999999999999</v>
      </c>
      <c r="FE1" s="371">
        <f t="shared" si="0"/>
        <v>0.80059999999999998</v>
      </c>
      <c r="FF1" s="371">
        <f t="shared" si="0"/>
        <v>0.80069999999999997</v>
      </c>
      <c r="FG1" s="371">
        <f t="shared" si="0"/>
        <v>0.80079999999999996</v>
      </c>
      <c r="FH1" s="371">
        <f t="shared" si="0"/>
        <v>0.80089999999999995</v>
      </c>
      <c r="FI1" s="371">
        <f t="shared" si="0"/>
        <v>0.80099999999999993</v>
      </c>
      <c r="FJ1" s="371">
        <f t="shared" si="0"/>
        <v>0.80109999999999992</v>
      </c>
      <c r="FK1" s="371">
        <f t="shared" si="0"/>
        <v>0.80119999999999991</v>
      </c>
      <c r="FN1" s="72"/>
      <c r="FO1" s="370"/>
      <c r="FP1" s="370"/>
      <c r="FQ1" s="370"/>
      <c r="FR1" s="370"/>
      <c r="FS1" s="370"/>
      <c r="FT1" s="370"/>
      <c r="FU1" s="370"/>
      <c r="FV1" s="370"/>
      <c r="FW1" s="370"/>
      <c r="FX1" s="370"/>
      <c r="FY1" s="370"/>
      <c r="FZ1" s="370"/>
    </row>
    <row r="2" spans="1:279" ht="28" customHeight="1" thickBot="1">
      <c r="A2" s="690" t="s">
        <v>100</v>
      </c>
      <c r="B2" s="690"/>
      <c r="C2" s="690"/>
      <c r="D2" s="690"/>
      <c r="E2" s="690"/>
      <c r="F2" s="690"/>
      <c r="H2" s="300" t="s">
        <v>228</v>
      </c>
      <c r="J2" s="301"/>
      <c r="L2" s="256" t="s">
        <v>117</v>
      </c>
      <c r="M2" s="398"/>
      <c r="N2" s="271"/>
      <c r="O2" s="695" t="s">
        <v>120</v>
      </c>
      <c r="P2" s="695"/>
      <c r="Q2" s="695"/>
      <c r="R2" s="695"/>
      <c r="S2" s="691" t="s">
        <v>121</v>
      </c>
      <c r="T2" s="691"/>
      <c r="U2" s="691"/>
      <c r="V2" s="691"/>
      <c r="W2" s="255"/>
      <c r="X2" s="395"/>
      <c r="Y2" s="395"/>
      <c r="Z2" s="245" t="s">
        <v>159</v>
      </c>
      <c r="AA2" s="245"/>
      <c r="AB2" s="245"/>
      <c r="AC2" s="245"/>
      <c r="AD2" s="245"/>
      <c r="AE2" s="245"/>
      <c r="AF2" s="245"/>
      <c r="AG2" s="245"/>
      <c r="AH2" s="245"/>
      <c r="AI2" s="245"/>
      <c r="AJ2" s="245"/>
      <c r="AK2" s="245"/>
      <c r="AL2" s="245"/>
      <c r="AO2" s="694" t="s">
        <v>120</v>
      </c>
      <c r="AP2" s="695"/>
      <c r="AQ2" s="695"/>
      <c r="AR2" s="695"/>
      <c r="AS2" s="695"/>
      <c r="AT2" s="691" t="s">
        <v>121</v>
      </c>
      <c r="AU2" s="691"/>
      <c r="AV2" s="691"/>
      <c r="AW2" s="691"/>
      <c r="AX2" s="255"/>
      <c r="AY2" s="245" t="s">
        <v>159</v>
      </c>
      <c r="AZ2" s="245"/>
      <c r="BA2" s="700" t="s">
        <v>181</v>
      </c>
      <c r="BB2" s="696" t="s">
        <v>182</v>
      </c>
      <c r="BC2" s="698" t="s">
        <v>183</v>
      </c>
      <c r="BD2" s="245"/>
      <c r="BE2" s="700" t="s">
        <v>184</v>
      </c>
      <c r="BF2" s="696" t="s">
        <v>185</v>
      </c>
      <c r="BG2" s="698" t="s">
        <v>186</v>
      </c>
      <c r="BH2" s="245"/>
      <c r="BI2" s="700" t="s">
        <v>187</v>
      </c>
      <c r="BJ2" s="696" t="s">
        <v>188</v>
      </c>
      <c r="BK2" s="698" t="s">
        <v>189</v>
      </c>
      <c r="BL2" s="245"/>
      <c r="BM2" s="700" t="s">
        <v>190</v>
      </c>
      <c r="BN2" s="696" t="s">
        <v>191</v>
      </c>
      <c r="BO2" s="698" t="s">
        <v>192</v>
      </c>
      <c r="BP2" s="245"/>
      <c r="BQ2" s="700" t="s">
        <v>193</v>
      </c>
      <c r="BR2" s="696" t="s">
        <v>194</v>
      </c>
      <c r="BS2" s="698" t="s">
        <v>195</v>
      </c>
      <c r="BT2" s="245"/>
      <c r="BU2" s="700" t="s">
        <v>196</v>
      </c>
      <c r="BV2" s="696" t="s">
        <v>197</v>
      </c>
      <c r="BW2" s="698" t="s">
        <v>198</v>
      </c>
      <c r="BX2" s="705" t="s">
        <v>294</v>
      </c>
      <c r="BY2" s="732" t="s">
        <v>293</v>
      </c>
      <c r="BZ2" s="289"/>
      <c r="EX2" s="3"/>
      <c r="EY2" s="3"/>
      <c r="EZ2" s="3"/>
      <c r="FA2" s="3"/>
      <c r="FB2" s="3"/>
      <c r="FC2" s="3"/>
      <c r="FD2" s="3"/>
      <c r="FE2" s="3"/>
      <c r="FF2" s="3"/>
      <c r="FG2" s="3"/>
      <c r="FH2" s="3"/>
      <c r="FI2" s="3"/>
      <c r="FJ2" s="3"/>
      <c r="FK2" s="3"/>
      <c r="FM2" s="3">
        <v>0.8</v>
      </c>
      <c r="FN2" s="3"/>
      <c r="FO2" s="3"/>
      <c r="FP2" s="3"/>
      <c r="FQ2" s="3"/>
      <c r="FR2" s="3"/>
      <c r="FS2" s="3"/>
      <c r="FT2" s="3"/>
      <c r="FU2" s="3"/>
      <c r="FV2" s="3"/>
      <c r="FW2" s="3"/>
      <c r="FX2" s="3"/>
      <c r="FY2" s="3"/>
      <c r="FZ2" s="3"/>
      <c r="GB2" s="3">
        <v>0.6</v>
      </c>
      <c r="GQ2" s="3">
        <v>0.4</v>
      </c>
      <c r="HF2" s="3">
        <v>0.2</v>
      </c>
      <c r="HU2" s="3">
        <v>0.1</v>
      </c>
      <c r="IJ2" s="3">
        <v>0</v>
      </c>
    </row>
    <row r="3" spans="1:279" ht="56" customHeight="1">
      <c r="A3" s="262">
        <f>'1 StrategyMix for CarbonTargets'!V6</f>
        <v>-0.05</v>
      </c>
      <c r="B3" s="247"/>
      <c r="C3" s="247"/>
      <c r="D3" s="247"/>
      <c r="E3" s="293"/>
      <c r="F3" s="293"/>
      <c r="G3" s="293"/>
      <c r="H3" s="312">
        <f>-A3</f>
        <v>0.05</v>
      </c>
      <c r="I3" s="313">
        <f>-A3</f>
        <v>0.05</v>
      </c>
      <c r="J3" s="314">
        <f>-A3</f>
        <v>0.05</v>
      </c>
      <c r="K3" s="3"/>
      <c r="L3" s="257" t="s">
        <v>299</v>
      </c>
      <c r="M3" s="399" t="s">
        <v>298</v>
      </c>
      <c r="N3" s="401"/>
      <c r="O3" s="253" t="s">
        <v>129</v>
      </c>
      <c r="P3" s="253" t="s">
        <v>127</v>
      </c>
      <c r="Q3" s="253" t="s">
        <v>118</v>
      </c>
      <c r="R3" s="253" t="s">
        <v>119</v>
      </c>
      <c r="S3" s="251"/>
      <c r="T3" s="251" t="s">
        <v>253</v>
      </c>
      <c r="U3" s="251" t="s">
        <v>254</v>
      </c>
      <c r="V3" s="251" t="s">
        <v>255</v>
      </c>
      <c r="W3" s="251"/>
      <c r="X3" s="249" t="s">
        <v>295</v>
      </c>
      <c r="Y3" s="249" t="s">
        <v>296</v>
      </c>
      <c r="Z3" s="249" t="s">
        <v>139</v>
      </c>
      <c r="AA3" s="249" t="s">
        <v>138</v>
      </c>
      <c r="AB3" s="249" t="s">
        <v>124</v>
      </c>
      <c r="AC3" s="249" t="s">
        <v>133</v>
      </c>
      <c r="AD3" s="249" t="s">
        <v>125</v>
      </c>
      <c r="AE3" s="249" t="s">
        <v>134</v>
      </c>
      <c r="AF3" s="249" t="s">
        <v>126</v>
      </c>
      <c r="AG3" s="249" t="s">
        <v>135</v>
      </c>
      <c r="AH3" s="249" t="s">
        <v>130</v>
      </c>
      <c r="AI3" s="249" t="s">
        <v>136</v>
      </c>
      <c r="AJ3" s="249" t="s">
        <v>131</v>
      </c>
      <c r="AK3" s="249" t="s">
        <v>137</v>
      </c>
      <c r="AL3" s="249" t="s">
        <v>132</v>
      </c>
      <c r="AM3" s="249" t="s">
        <v>295</v>
      </c>
      <c r="AN3" s="249" t="s">
        <v>296</v>
      </c>
      <c r="AO3" s="325"/>
      <c r="AP3" s="253" t="s">
        <v>129</v>
      </c>
      <c r="AQ3" s="253" t="s">
        <v>127</v>
      </c>
      <c r="AR3" s="253" t="s">
        <v>118</v>
      </c>
      <c r="AS3" s="253" t="s">
        <v>119</v>
      </c>
      <c r="AT3" s="251"/>
      <c r="AU3" s="251" t="s">
        <v>128</v>
      </c>
      <c r="AV3" s="251" t="s">
        <v>122</v>
      </c>
      <c r="AW3" s="251" t="s">
        <v>123</v>
      </c>
      <c r="AX3" s="251"/>
      <c r="AY3" s="249" t="s">
        <v>139</v>
      </c>
      <c r="AZ3" s="249" t="s">
        <v>138</v>
      </c>
      <c r="BA3" s="701"/>
      <c r="BB3" s="697"/>
      <c r="BC3" s="699"/>
      <c r="BD3" s="249" t="s">
        <v>133</v>
      </c>
      <c r="BE3" s="701"/>
      <c r="BF3" s="697"/>
      <c r="BG3" s="699"/>
      <c r="BH3" s="249" t="s">
        <v>134</v>
      </c>
      <c r="BI3" s="701"/>
      <c r="BJ3" s="697"/>
      <c r="BK3" s="699"/>
      <c r="BL3" s="249" t="s">
        <v>135</v>
      </c>
      <c r="BM3" s="701"/>
      <c r="BN3" s="697"/>
      <c r="BO3" s="699"/>
      <c r="BP3" s="249" t="s">
        <v>136</v>
      </c>
      <c r="BQ3" s="701"/>
      <c r="BR3" s="697"/>
      <c r="BS3" s="699"/>
      <c r="BT3" s="249" t="s">
        <v>292</v>
      </c>
      <c r="BU3" s="701"/>
      <c r="BV3" s="697"/>
      <c r="BW3" s="699"/>
      <c r="BX3" s="705"/>
      <c r="BY3" s="732"/>
      <c r="BZ3" s="289"/>
      <c r="CL3" s="1"/>
      <c r="CM3" s="1"/>
      <c r="CN3" s="1"/>
      <c r="CO3" s="1"/>
      <c r="CP3" s="1"/>
      <c r="CQ3" s="1"/>
      <c r="CR3" s="1"/>
      <c r="CS3" s="1"/>
      <c r="CT3" s="1"/>
      <c r="CU3" s="1"/>
      <c r="CV3" s="1"/>
      <c r="CW3" s="1"/>
      <c r="CX3" s="1"/>
      <c r="CY3" s="1"/>
      <c r="CZ3" s="1"/>
      <c r="DA3" s="1"/>
      <c r="DB3" s="1"/>
      <c r="DC3" s="1"/>
      <c r="DD3" s="1"/>
      <c r="DE3" s="1"/>
      <c r="DF3" s="1"/>
      <c r="DG3" s="1"/>
      <c r="EX3" s="725" t="s">
        <v>239</v>
      </c>
      <c r="EY3" s="726"/>
      <c r="EZ3" s="726"/>
      <c r="FA3" s="726"/>
      <c r="FB3" s="726"/>
      <c r="FC3" s="726"/>
      <c r="FD3" s="726"/>
      <c r="FE3" s="726"/>
      <c r="FF3" s="726"/>
      <c r="FG3" s="726"/>
      <c r="FH3" s="726"/>
      <c r="FI3" s="726"/>
      <c r="FJ3" s="726"/>
      <c r="FK3" s="727"/>
      <c r="FM3" s="725" t="s">
        <v>240</v>
      </c>
      <c r="FN3" s="726"/>
      <c r="FO3" s="726"/>
      <c r="FP3" s="726"/>
      <c r="FQ3" s="726"/>
      <c r="FR3" s="726"/>
      <c r="FS3" s="726"/>
      <c r="FT3" s="726"/>
      <c r="FU3" s="726"/>
      <c r="FV3" s="726"/>
      <c r="FW3" s="726"/>
      <c r="FX3" s="726"/>
      <c r="FY3" s="726"/>
      <c r="FZ3" s="727"/>
      <c r="GB3" s="725" t="s">
        <v>241</v>
      </c>
      <c r="GC3" s="726"/>
      <c r="GD3" s="726"/>
      <c r="GE3" s="726"/>
      <c r="GF3" s="726"/>
      <c r="GG3" s="726"/>
      <c r="GH3" s="726"/>
      <c r="GI3" s="726"/>
      <c r="GJ3" s="726"/>
      <c r="GK3" s="726"/>
      <c r="GL3" s="726"/>
      <c r="GM3" s="726"/>
      <c r="GN3" s="726"/>
      <c r="GO3" s="727"/>
      <c r="GQ3" s="725" t="s">
        <v>245</v>
      </c>
      <c r="GR3" s="726"/>
      <c r="GS3" s="726"/>
      <c r="GT3" s="726"/>
      <c r="GU3" s="726"/>
      <c r="GV3" s="726"/>
      <c r="GW3" s="726"/>
      <c r="GX3" s="726"/>
      <c r="GY3" s="726"/>
      <c r="GZ3" s="726"/>
      <c r="HA3" s="726"/>
      <c r="HB3" s="726"/>
      <c r="HC3" s="726"/>
      <c r="HD3" s="727"/>
      <c r="HF3" s="725" t="s">
        <v>244</v>
      </c>
      <c r="HG3" s="726"/>
      <c r="HH3" s="726"/>
      <c r="HI3" s="726"/>
      <c r="HJ3" s="726"/>
      <c r="HK3" s="726"/>
      <c r="HL3" s="726"/>
      <c r="HM3" s="726"/>
      <c r="HN3" s="726"/>
      <c r="HO3" s="726"/>
      <c r="HP3" s="726"/>
      <c r="HQ3" s="726"/>
      <c r="HR3" s="726"/>
      <c r="HS3" s="727"/>
      <c r="HU3" s="725" t="s">
        <v>243</v>
      </c>
      <c r="HV3" s="726"/>
      <c r="HW3" s="726"/>
      <c r="HX3" s="726"/>
      <c r="HY3" s="726"/>
      <c r="HZ3" s="726"/>
      <c r="IA3" s="726"/>
      <c r="IB3" s="726"/>
      <c r="IC3" s="726"/>
      <c r="ID3" s="726"/>
      <c r="IE3" s="726"/>
      <c r="IF3" s="726"/>
      <c r="IG3" s="726"/>
      <c r="IH3" s="727"/>
      <c r="IJ3" s="725" t="s">
        <v>242</v>
      </c>
      <c r="IK3" s="726"/>
      <c r="IL3" s="726"/>
      <c r="IM3" s="726"/>
      <c r="IN3" s="726"/>
      <c r="IO3" s="726"/>
      <c r="IP3" s="726"/>
      <c r="IQ3" s="726"/>
      <c r="IR3" s="726"/>
      <c r="IS3" s="726"/>
      <c r="IT3" s="726"/>
      <c r="IU3" s="726"/>
      <c r="IV3" s="726"/>
      <c r="IW3" s="727"/>
      <c r="JA3" t="str">
        <f>TEXT('1 StrategyMix for CarbonTargets'!V46,"0%")</f>
        <v>80%</v>
      </c>
    </row>
    <row r="4" spans="1:279" ht="15" thickBot="1">
      <c r="A4" s="259"/>
      <c r="B4" s="247"/>
      <c r="C4" s="247"/>
      <c r="D4" s="247"/>
      <c r="E4" s="247"/>
      <c r="F4" s="247"/>
      <c r="J4" s="3"/>
      <c r="K4" s="3">
        <v>1</v>
      </c>
      <c r="L4" s="258">
        <f>-H3</f>
        <v>-0.05</v>
      </c>
      <c r="M4" s="400"/>
      <c r="N4" s="270"/>
      <c r="O4" s="254">
        <f>IF('1 StrategyMix for CarbonTargets'!V10="Rural",-H16,IF('1 StrategyMix for CarbonTargets'!V10="Peri urban",-I16,IF('1 StrategyMix for CarbonTargets'!V10="Urban",-J16,0)))</f>
        <v>-2.8799999999999999E-2</v>
      </c>
      <c r="P4" s="254">
        <f>IF('1 StrategyMix for CarbonTargets'!V10="Rural",-H19,IF('1 StrategyMix for CarbonTargets'!V10="Peri urban",-I19,IF('1 StrategyMix for CarbonTargets'!V10="Urban",-J19,0)))</f>
        <v>-7.000000000000001E-3</v>
      </c>
      <c r="Q4" s="254">
        <f>IF('1 StrategyMix for CarbonTargets'!V10="Rural",-H22,IF('1 StrategyMix for CarbonTargets'!V10="Peri urban",-I22,IF('1 StrategyMix for CarbonTargets'!V10="Urban",-J22,0)))</f>
        <v>-2.2499999999999999E-2</v>
      </c>
      <c r="R4" s="254">
        <f>IF('1 StrategyMix for CarbonTargets'!V10="Rural",-H25,IF('1 StrategyMix for CarbonTargets'!V10="Peri urban",-I25,IF('1 StrategyMix for CarbonTargets'!V10="Urban",-J25,0)))</f>
        <v>-6.7500000000000004E-2</v>
      </c>
      <c r="S4" s="252"/>
      <c r="T4" s="252">
        <f>IF('1 StrategyMix for CarbonTargets'!V10="Rural",-H31,IF('1 StrategyMix for CarbonTargets'!V10="Peri urban",-I31,IF('1 StrategyMix for CarbonTargets'!V10="Urban",-J31,0)))</f>
        <v>-5.0364963503649648E-2</v>
      </c>
      <c r="U4" s="252">
        <f>IF('1 StrategyMix for CarbonTargets'!V10="Rural",-H32,IF('1 StrategyMix for CarbonTargets'!V10="Peri urban",-I32,IF('1 StrategyMix for CarbonTargets'!V10="Urban",-J32,0)))</f>
        <v>-0.10437956204379562</v>
      </c>
      <c r="V4" s="252">
        <f>IF('1 StrategyMix for CarbonTargets'!V10="Rural",-H33,IF('1 StrategyMix for CarbonTargets'!V10="Peri urban",-I33,IF('1 StrategyMix for CarbonTargets'!V10="Urban",-J33,0)))</f>
        <v>-0.24525547445255474</v>
      </c>
      <c r="W4" s="252"/>
      <c r="X4" s="396"/>
      <c r="Y4" s="396"/>
      <c r="Z4" s="250">
        <f>IF(A50=0, IF('1 StrategyMix for CarbonTargets'!V10="Rural",-H37,IF('1 StrategyMix for CarbonTargets'!V10="Peri urban",-I37,IF('1 StrategyMix for CarbonTargets'!V10="Urban",-J37,0))),IF(A50=0.1,IF('1 StrategyMix for CarbonTargets'!V10="Rural",-H47,IF('1 StrategyMix for CarbonTargets'!V10="Peri urban",-I47,IF('1 StrategyMix for CarbonTargets'!V10="Urban",-J47,0))),IF(A50=0.2,IF('1 StrategyMix for CarbonTargets'!V10="Rural",-H57,IF('1 StrategyMix for CarbonTargets'!V10="Peri urban",-I57,IF('1 StrategyMix for CarbonTargets'!V10="Urban",-J57,0))),IF(A50=0.3,IF('1 StrategyMix for CarbonTargets'!V10="Rural",-H67,IF('1 StrategyMix for CarbonTargets'!V10="Peri urban",-I67,IF('1 StrategyMix for CarbonTargets'!V10="Urban",-J67,0))),0))))</f>
        <v>-8.4839999999999971E-2</v>
      </c>
      <c r="AA4" s="250">
        <f>-Z4*0.1</f>
        <v>8.4839999999999968E-3</v>
      </c>
      <c r="AB4" s="250">
        <f>IF(A50=0, IF('1 StrategyMix for CarbonTargets'!V10="Rural",-H38+H37-AA4,IF('1 StrategyMix for CarbonTargets'!V10="Peri urban",-I38+I37-AA4,IF('1 StrategyMix for CarbonTargets'!V10="Urban",-J38+J37-AA4,0))),IF(A50=0.1,IF('1 StrategyMix for CarbonTargets'!V10="Rural",-H48+H47-AA4,IF('1 StrategyMix for CarbonTargets'!V10="Peri urban",-I48+I47-AA4,IF('1 StrategyMix for CarbonTargets'!V10="Urban",-J48+J47-AA4,0))),IF(A50=0.2,IF('1 StrategyMix for CarbonTargets'!V10="Rural",-H58+H57-AA4,IF('1 StrategyMix for CarbonTargets'!V10="Peri urban",-I58+I57-AA4,IF('1 StrategyMix for CarbonTargets'!V10="Urban",-J58+J57-AA4,0))),IF(A50=0.3,IF('1 StrategyMix for CarbonTargets'!V10="Rural",-H68+J67-AA4,IF('1 StrategyMix for CarbonTargets'!V10="Peri urban",-I68+I67-AA4,IF('1 StrategyMix for CarbonTargets'!V10="Urban",-J68+J67-AA4,0))),0))))</f>
        <v>-3.8794749913043457E-2</v>
      </c>
      <c r="AC4" s="250">
        <f>-Z4*0.1</f>
        <v>8.4839999999999968E-3</v>
      </c>
      <c r="AD4" s="250">
        <f>IF(A50=0, IF('1 StrategyMix for CarbonTargets'!V10="Rural",-H39+H38-AC4,IF('1 StrategyMix for CarbonTargets'!V10="Peri urban",-I39+I38-AC4,IF('1 StrategyMix for CarbonTargets'!V10="Urban",-J39+J38-AC4,0))),IF(A50=0.1,IF('1 StrategyMix for CarbonTargets'!V10="Rural",-H49+H48-AC4,IF('1 StrategyMix for CarbonTargets'!V10="Peri urban",-I49+I48-AC4,IF('1 StrategyMix for CarbonTargets'!V10="Urban",-J49+J48-AC4,0))),IF(A50=0.2,IF('1 StrategyMix for CarbonTargets'!V10="Rural",-H59+H58-AC4,IF('1 StrategyMix for CarbonTargets'!V10="Peri urban",-I59+I58-AC4,IF('1 StrategyMix for CarbonTargets'!V10="Urban",-J59+J58-AC4,0))),IF(A50=0.3,IF('1 StrategyMix for CarbonTargets'!V10="Rural",-H69+H68-AC4,IF('1 StrategyMix for CarbonTargets'!V10="Peri urban",-I69+I68-AC4,IF('1 StrategyMix for CarbonTargets'!V10="Urban",-J69+J68-AC4,0))),0))))</f>
        <v>-3.8794749913043457E-2</v>
      </c>
      <c r="AE4" s="250">
        <f>-Z4*0.2</f>
        <v>1.6967999999999994E-2</v>
      </c>
      <c r="AF4" s="250">
        <f>IF(A50=0, IF('1 StrategyMix for CarbonTargets'!V10="Rural",-H40+H39-AE4,IF('1 StrategyMix for CarbonTargets'!V10="Peri urban",-I40+I39-AE4,IF('1 StrategyMix for CarbonTargets'!V10="Urban",-J40+J39-AE4,0))),IF(A50=0.1,IF('1 StrategyMix for CarbonTargets'!V10="Rural",-H50+H49-AE4,IF('1 StrategyMix for CarbonTargets'!V10="Peri urban",-I50+I49-AE4,IF('1 StrategyMix for CarbonTargets'!V10="Urban",-J50+J49-AE4,0))),IF(A50=0.2,IF('1 StrategyMix for CarbonTargets'!V10="Rural",-H60+H59-AE4,IF('1 StrategyMix for CarbonTargets'!V10="Peri urban",-I60+I59-AE4,IF('1 StrategyMix for CarbonTargets'!V10="Urban",-J60+J59-AE4,0))),IF(A50=0.3,IF('1 StrategyMix for CarbonTargets'!V10="Rural",-H70+H69-AE4,IF('1 StrategyMix for CarbonTargets'!V10="Peri urban",-I70+I69-AE4,IF('1 StrategyMix for CarbonTargets'!V10="Urban",-J70+J69-AE4,0))),0))))</f>
        <v>-7.7589499826087024E-2</v>
      </c>
      <c r="AG4" s="250">
        <f>-Z4*0.2</f>
        <v>1.6967999999999994E-2</v>
      </c>
      <c r="AH4" s="250">
        <f>IF(A50=0, IF('1 StrategyMix for CarbonTargets'!V10="Rural",-H41+H40-AG4,IF('1 StrategyMix for CarbonTargets'!V10="Peri urban",-I41+I40-AG4,IF('1 StrategyMix for CarbonTargets'!V10="Urban",-J41+J40-AG4,0))),IF(A50=0.1,IF('1 StrategyMix for CarbonTargets'!V10="Rural",-H51+H50-AG4,IF('1 StrategyMix for CarbonTargets'!V10="Peri urban",-I51+I50-AG4,IF('1 StrategyMix for CarbonTargets'!V10="Urban",-J51+J50-AG4,0))),IF(A50=0.2,IF('1 StrategyMix for CarbonTargets'!V10="Rural",-H61+H60-AG4,IF('1 StrategyMix for CarbonTargets'!V10="Peri urban",-I61+I60-AG4,IF('1 StrategyMix for CarbonTargets'!V10="Urban",-J61+J60-AG4,0))),IF(A50=0.3,IF('1 StrategyMix for CarbonTargets'!V10="Rural",-H71+H70-AG4,IF('1 StrategyMix for CarbonTargets'!V10="Peri urban",-I71+I70-AG4,IF('1 StrategyMix for CarbonTargets'!V10="Urban",-J71+J70-AG4,0))),0))))</f>
        <v>-7.7589499826086886E-2</v>
      </c>
      <c r="AI4" s="263">
        <f>-Z4*0.2</f>
        <v>1.6967999999999994E-2</v>
      </c>
      <c r="AJ4" s="263">
        <f>IF(A50=0, IF('1 StrategyMix for CarbonTargets'!V10="Rural",-H42+H41-AI4,IF('1 StrategyMix for CarbonTargets'!V10="Peri urban",-I42+I41-AI4,IF('1 StrategyMix for CarbonTargets'!V10="Urban",-J42+J41-AI4,0))),IF(A50=0.1,IF('1 StrategyMix for CarbonTargets'!V10="Rural",-H52+H51-AI4,IF('1 StrategyMix for CarbonTargets'!V10="Peri urban",-I52+I51-AI4,IF('1 StrategyMix for CarbonTargets'!V10="Urban",-J52+J51-AI4,0))),IF(A50=0.2,IF('1 StrategyMix for CarbonTargets'!V10="Rural",-H62+H61-AI4,IF('1 StrategyMix for CarbonTargets'!V10="Peri urban",-I62+I61-AI4,IF('1 StrategyMix for CarbonTargets'!V10="Urban",-J62+J61-AI4,0))),IF(A50=0.3,IF('1 StrategyMix for CarbonTargets'!V10="Rural",-H72+H71-AI4,IF('1 StrategyMix for CarbonTargets'!V10="Peri urban",-I72+I71-AI4,IF('1 StrategyMix for CarbonTargets'!V10="Urban",-J72+J71-AI4,0))),0))))</f>
        <v>-7.7589499826086997E-2</v>
      </c>
      <c r="AK4" s="263">
        <f>-Z4*0.2</f>
        <v>1.6967999999999994E-2</v>
      </c>
      <c r="AL4" s="263">
        <f>IF(A50=0, IF('1 StrategyMix for CarbonTargets'!V10="Rural",-H43+H42-AK4,IF('1 StrategyMix for CarbonTargets'!V10="Peri urban",-I43+I42-AK4,IF('1 StrategyMix for CarbonTargets'!V10="Urban",-J43+J42-AK4,0))),IF(A50=0.1,IF('1 StrategyMix for CarbonTargets'!V10="Rural",-H53+H52-AK4,IF('1 StrategyMix for CarbonTargets'!V10="Peri urban",-I53+I52-AK4,IF('1 StrategyMix for CarbonTargets'!V10="Urban",-J53+J52-AK4,0))),IF(A50=0.2,IF('1 StrategyMix for CarbonTargets'!V10="Rural",-H63+H62-AK4,IF('1 StrategyMix for CarbonTargets'!V10="Peri urban",-I63+I62-AK4,IF('1 StrategyMix for CarbonTargets'!V10="Urban",-J63+J62-AK4,0))),IF(A50=0.3,IF('1 StrategyMix for CarbonTargets'!V10="Rural",-H73+H72-AK4,IF('1 StrategyMix for CarbonTargets'!V10="Peri urban",-I73+I72-AK4,IF('1 StrategyMix for CarbonTargets'!V10="Urban",-J73+J72-AK4,0))),0))))</f>
        <v>-7.7589499826086941E-2</v>
      </c>
      <c r="AO4" s="89"/>
      <c r="AP4" s="5">
        <f>O4</f>
        <v>-2.8799999999999999E-2</v>
      </c>
      <c r="AQ4" s="5">
        <f>P4</f>
        <v>-7.000000000000001E-3</v>
      </c>
      <c r="AR4" s="5">
        <f>Q4</f>
        <v>-2.2499999999999999E-2</v>
      </c>
      <c r="AS4" s="5">
        <f>R4</f>
        <v>-6.7500000000000004E-2</v>
      </c>
      <c r="AU4" s="5">
        <f>T4</f>
        <v>-5.0364963503649648E-2</v>
      </c>
      <c r="AV4" s="5">
        <f>U4</f>
        <v>-0.10437956204379562</v>
      </c>
      <c r="AW4" s="5">
        <f>V4</f>
        <v>-0.24525547445255474</v>
      </c>
      <c r="AY4" s="5">
        <f t="shared" ref="AY4:BA4" si="1">Z4</f>
        <v>-8.4839999999999971E-2</v>
      </c>
      <c r="AZ4" s="5">
        <f t="shared" si="1"/>
        <v>8.4839999999999968E-3</v>
      </c>
      <c r="BA4" s="282">
        <f t="shared" si="1"/>
        <v>-3.8794749913043457E-2</v>
      </c>
      <c r="BB4" s="270">
        <f>AB4</f>
        <v>-3.8794749913043457E-2</v>
      </c>
      <c r="BC4" s="108"/>
      <c r="BD4" s="5">
        <f>AC4</f>
        <v>8.4839999999999968E-3</v>
      </c>
      <c r="BE4" s="282">
        <f>AD4</f>
        <v>-3.8794749913043457E-2</v>
      </c>
      <c r="BF4" s="282">
        <f>AD4</f>
        <v>-3.8794749913043457E-2</v>
      </c>
      <c r="BG4" s="108"/>
      <c r="BH4" s="5">
        <f>AE4</f>
        <v>1.6967999999999994E-2</v>
      </c>
      <c r="BI4" s="282">
        <f>AF4</f>
        <v>-7.7589499826087024E-2</v>
      </c>
      <c r="BJ4" s="270">
        <f>AF4</f>
        <v>-7.7589499826087024E-2</v>
      </c>
      <c r="BK4" s="108"/>
      <c r="BL4" s="5">
        <f>AG4</f>
        <v>1.6967999999999994E-2</v>
      </c>
      <c r="BM4" s="282">
        <f>AH4</f>
        <v>-7.7589499826086886E-2</v>
      </c>
      <c r="BN4" s="270">
        <f>AH4</f>
        <v>-7.7589499826086886E-2</v>
      </c>
      <c r="BO4" s="108"/>
      <c r="BP4" s="5">
        <f>AI4</f>
        <v>1.6967999999999994E-2</v>
      </c>
      <c r="BQ4" s="282">
        <f>AJ4</f>
        <v>-7.7589499826086997E-2</v>
      </c>
      <c r="BR4" s="270">
        <f>AJ4</f>
        <v>-7.7589499826086997E-2</v>
      </c>
      <c r="BS4" s="108"/>
      <c r="BT4" s="5">
        <f>AK4</f>
        <v>1.6967999999999994E-2</v>
      </c>
      <c r="BU4" s="282">
        <f>AL4</f>
        <v>-7.7589499826086941E-2</v>
      </c>
      <c r="BV4" s="270">
        <f>AL4</f>
        <v>-7.7589499826086941E-2</v>
      </c>
      <c r="BW4" s="108"/>
      <c r="BX4" s="5"/>
      <c r="BY4" s="5"/>
      <c r="BZ4" s="5"/>
      <c r="EX4" s="728"/>
      <c r="EY4" s="729"/>
      <c r="EZ4" s="729"/>
      <c r="FA4" s="729"/>
      <c r="FB4" s="729"/>
      <c r="FC4" s="729"/>
      <c r="FD4" s="729"/>
      <c r="FE4" s="729"/>
      <c r="FF4" s="729"/>
      <c r="FG4" s="729"/>
      <c r="FH4" s="729"/>
      <c r="FI4" s="729"/>
      <c r="FJ4" s="729"/>
      <c r="FK4" s="730"/>
      <c r="FM4" s="728"/>
      <c r="FN4" s="729"/>
      <c r="FO4" s="729"/>
      <c r="FP4" s="729"/>
      <c r="FQ4" s="729"/>
      <c r="FR4" s="729"/>
      <c r="FS4" s="729"/>
      <c r="FT4" s="729"/>
      <c r="FU4" s="729"/>
      <c r="FV4" s="729"/>
      <c r="FW4" s="729"/>
      <c r="FX4" s="729"/>
      <c r="FY4" s="729"/>
      <c r="FZ4" s="730"/>
      <c r="GB4" s="728"/>
      <c r="GC4" s="729"/>
      <c r="GD4" s="729"/>
      <c r="GE4" s="729"/>
      <c r="GF4" s="729"/>
      <c r="GG4" s="729"/>
      <c r="GH4" s="729"/>
      <c r="GI4" s="729"/>
      <c r="GJ4" s="729"/>
      <c r="GK4" s="729"/>
      <c r="GL4" s="729"/>
      <c r="GM4" s="729"/>
      <c r="GN4" s="729"/>
      <c r="GO4" s="730"/>
      <c r="GQ4" s="728"/>
      <c r="GR4" s="729"/>
      <c r="GS4" s="729"/>
      <c r="GT4" s="729"/>
      <c r="GU4" s="729"/>
      <c r="GV4" s="729"/>
      <c r="GW4" s="729"/>
      <c r="GX4" s="729"/>
      <c r="GY4" s="729"/>
      <c r="GZ4" s="729"/>
      <c r="HA4" s="729"/>
      <c r="HB4" s="729"/>
      <c r="HC4" s="729"/>
      <c r="HD4" s="730"/>
      <c r="HF4" s="728"/>
      <c r="HG4" s="729"/>
      <c r="HH4" s="729"/>
      <c r="HI4" s="729"/>
      <c r="HJ4" s="729"/>
      <c r="HK4" s="729"/>
      <c r="HL4" s="729"/>
      <c r="HM4" s="729"/>
      <c r="HN4" s="729"/>
      <c r="HO4" s="729"/>
      <c r="HP4" s="729"/>
      <c r="HQ4" s="729"/>
      <c r="HR4" s="729"/>
      <c r="HS4" s="730"/>
      <c r="HU4" s="728"/>
      <c r="HV4" s="729"/>
      <c r="HW4" s="729"/>
      <c r="HX4" s="729"/>
      <c r="HY4" s="729"/>
      <c r="HZ4" s="729"/>
      <c r="IA4" s="729"/>
      <c r="IB4" s="729"/>
      <c r="IC4" s="729"/>
      <c r="ID4" s="729"/>
      <c r="IE4" s="729"/>
      <c r="IF4" s="729"/>
      <c r="IG4" s="729"/>
      <c r="IH4" s="730"/>
      <c r="IJ4" s="728"/>
      <c r="IK4" s="729"/>
      <c r="IL4" s="729"/>
      <c r="IM4" s="729"/>
      <c r="IN4" s="729"/>
      <c r="IO4" s="729"/>
      <c r="IP4" s="729"/>
      <c r="IQ4" s="729"/>
      <c r="IR4" s="729"/>
      <c r="IS4" s="729"/>
      <c r="IT4" s="729"/>
      <c r="IU4" s="729"/>
      <c r="IV4" s="729"/>
      <c r="IW4" s="730"/>
    </row>
    <row r="5" spans="1:279" ht="15" thickBot="1">
      <c r="A5" s="692" t="s">
        <v>263</v>
      </c>
      <c r="B5" s="692"/>
      <c r="C5" s="692"/>
      <c r="D5" s="692"/>
      <c r="E5" s="692"/>
      <c r="F5" s="692"/>
      <c r="J5" s="3"/>
      <c r="K5" s="3"/>
      <c r="L5" s="315"/>
      <c r="M5" s="271"/>
      <c r="N5" s="271"/>
      <c r="O5" s="315"/>
      <c r="P5" s="315"/>
      <c r="Q5" s="315"/>
      <c r="R5" s="315"/>
      <c r="S5" s="271"/>
      <c r="T5" s="315"/>
      <c r="U5" s="315"/>
      <c r="V5" s="315"/>
      <c r="W5" s="271"/>
      <c r="X5" s="271"/>
      <c r="Y5" s="271"/>
      <c r="Z5" s="315"/>
      <c r="AA5" s="315" t="s">
        <v>179</v>
      </c>
      <c r="AB5" s="273">
        <f>IF(A50=0, IF('1 StrategyMix for CarbonTargets'!V10="Rural",-O38+O37-AA4,IF('1 StrategyMix for CarbonTargets'!V10="Peri urban",-P38+P37-AA4,IF('1 StrategyMix for CarbonTargets'!V10="Urban",-Q38+Q37-AA4,0))),IF(A50=0.1,IF('1 StrategyMix for CarbonTargets'!V10="Rural",-O48+O47-AA4,IF('1 StrategyMix for CarbonTargets'!V10="Peri urban",-P48+P47-AA4,IF('1 StrategyMix for CarbonTargets'!V10="Urban",-Q48+Q47-AA4,0))),IF(A50=0.2,IF('1 StrategyMix for CarbonTargets'!V10="Rural",-O58+O57-AA4,IF('1 StrategyMix for CarbonTargets'!V10="Peri urban",-P58+P57-AA4,IF('1 StrategyMix for CarbonTargets'!V10="Urban",-Q58+Q57-AA4,0))),IF(A50=0.3,IF('1 StrategyMix for CarbonTargets'!V10="Rural",-O68+Q67-AA4,IF('1 StrategyMix for CarbonTargets'!V10="Peri urban",-P68+P67-AA4,IF('1 StrategyMix for CarbonTargets'!V10="Urban",-Q68+Q67-AA4,0))),0))))</f>
        <v>-1.9831903304347802E-2</v>
      </c>
      <c r="AC5" s="315"/>
      <c r="AD5" s="273">
        <f>IF(A50=0, IF('1 StrategyMix for CarbonTargets'!V10="Rural",-O39+O38-AC4,IF('1 StrategyMix for CarbonTargets'!V10="Peri urban",-P39+P38-AC4,IF('1 StrategyMix for CarbonTargets'!V10="Urban",-Q39+Q38-AC4,0))),IF(A50=0.1,IF('1 StrategyMix for CarbonTargets'!V10="Rural",-O49+O48-AC4,IF('1 StrategyMix for CarbonTargets'!V10="Peri urban",-P49+P48-AC4,IF('1 StrategyMix for CarbonTargets'!V10="Urban",-Q49+Q48-AC4,0))),IF(A50=0.2,IF('1 StrategyMix for CarbonTargets'!V10="Rural",-O59+O58-AC4,IF('1 StrategyMix for CarbonTargets'!V10="Peri urban",-P59+P58-AC4,IF('1 StrategyMix for CarbonTargets'!V10="Urban",-Q59+Q58-AC4,0))),IF(A50=0.3,IF('1 StrategyMix for CarbonTargets'!V10="Rural",-O69+O68-AC4,IF('1 StrategyMix for CarbonTargets'!V10="Peri urban",-P69+P68-AC4,IF('1 StrategyMix for CarbonTargets'!V10="Urban",-Q69+Q68-AC4,0))),0))))</f>
        <v>-1.9831903304347843E-2</v>
      </c>
      <c r="AE5" s="315"/>
      <c r="AF5" s="273">
        <f>IF(A50=0, IF('1 StrategyMix for CarbonTargets'!V10="Rural",-O40+O39-AE4,IF('1 StrategyMix for CarbonTargets'!V10="Peri urban",-P40+P39-AE4,IF('1 StrategyMix for CarbonTargets'!V10="Urban",-Q40+Q39-AE4,0))),IF(A50=0.1,IF('1 StrategyMix for CarbonTargets'!V10="Rural",-O50+O49-AE4,IF('1 StrategyMix for CarbonTargets'!V10="Peri urban",-P50+P49-AE4,IF('1 StrategyMix for CarbonTargets'!V10="Urban",-Q50+Q49-AE4,0))),IF(A50=0.2,IF('1 StrategyMix for CarbonTargets'!V10="Rural",-O60+O59-AE4,IF('1 StrategyMix for CarbonTargets'!V10="Peri urban",-P60+P59-AE4,IF('1 StrategyMix for CarbonTargets'!V10="Urban",-Q60+Q59-AE4,0))),IF(A50=0.3,IF('1 StrategyMix for CarbonTargets'!V10="Rural",-O70+O69-AE4,IF('1 StrategyMix for CarbonTargets'!V10="Peri urban",-P70+P69-AE4,IF('1 StrategyMix for CarbonTargets'!V10="Urban",-Q70+Q69-AE4,0))),0))))</f>
        <v>-3.9663806608695673E-2</v>
      </c>
      <c r="AG5" s="315"/>
      <c r="AH5" s="273">
        <f>IF(A50=0, IF('1 StrategyMix for CarbonTargets'!V10="Rural",-O41+O40-AG4,IF('1 StrategyMix for CarbonTargets'!V10="Peri urban",-P41+P40-AG4,IF('1 StrategyMix for CarbonTargets'!V10="Urban",-Q41+Q40-AG4,0))),IF(A50=0.1,IF('1 StrategyMix for CarbonTargets'!V10="Rural",-O51+O50-AG4,IF('1 StrategyMix for CarbonTargets'!V10="Peri urban",-P51+P50-AG4,IF('1 StrategyMix for CarbonTargets'!V10="Urban",-Q51+Q50-AG4,0))),IF(A50=0.2,IF('1 StrategyMix for CarbonTargets'!V10="Rural",-O61+O60-AG4,IF('1 StrategyMix for CarbonTargets'!V10="Peri urban",-P61+P60-AG4,IF('1 StrategyMix for CarbonTargets'!V10="Urban",-Q61+Q60-AG4,0))),IF(A50=0.3,IF('1 StrategyMix for CarbonTargets'!V10="Rural",-O71+O70-AG4,IF('1 StrategyMix for CarbonTargets'!V10="Peri urban",-P71+P70-AG4,IF('1 StrategyMix for CarbonTargets'!V10="Urban",-Q71+Q70-AG4,0))),0))))</f>
        <v>-3.9663806608695631E-2</v>
      </c>
      <c r="AI5" s="271"/>
      <c r="AJ5" s="273">
        <f>IF(A50=0, IF('1 StrategyMix for CarbonTargets'!V10="Rural",-O42+O41-AI4,IF('1 StrategyMix for CarbonTargets'!V10="Peri urban",-P42+P41-AI4,IF('1 StrategyMix for CarbonTargets'!V10="Urban",-Q42+Q41-AI4,0))),IF(A50=0.1,IF('1 StrategyMix for CarbonTargets'!V10="Rural",-O52+O51-AI4,IF('1 StrategyMix for CarbonTargets'!V10="Peri urban",-P52+P51-AI4,IF('1 StrategyMix for CarbonTargets'!V10="Urban",-Q52+Q51-AI4,0))),IF(A50=0.2,IF('1 StrategyMix for CarbonTargets'!V10="Rural",-O62+O61-AI4,IF('1 StrategyMix for CarbonTargets'!V10="Peri urban",-P62+P61-AI4,IF('1 StrategyMix for CarbonTargets'!V10="Urban",-Q62+Q61-AI4,0))),IF(A50=0.3,IF('1 StrategyMix for CarbonTargets'!V10="Rural",-O72+O71-AI4,IF('1 StrategyMix for CarbonTargets'!V10="Peri urban",-P72+P71-AI4,IF('1 StrategyMix for CarbonTargets'!V10="Urban",-Q72+Q71-AI4,0))),0))))</f>
        <v>-3.9663806608695687E-2</v>
      </c>
      <c r="AK5" s="271"/>
      <c r="AL5" s="272">
        <f>IF(A50=0, IF('1 StrategyMix for CarbonTargets'!V10="Rural",-O43+O42-AK4,IF('1 StrategyMix for CarbonTargets'!V10="Peri urban",-P43+P42-AK4,IF('1 StrategyMix for CarbonTargets'!V10="Urban",-Q43+Q42-AK4,0))),IF(A50=0.1,IF('1 StrategyMix for CarbonTargets'!V10="Rural",-O53+O52-AK4,IF('1 StrategyMix for CarbonTargets'!V10="Peri urban",-P53+P52-AK4,IF('1 StrategyMix for CarbonTargets'!V10="Urban",-Q53+Q52-AK4,0))),IF(A50=0.2,IF('1 StrategyMix for CarbonTargets'!V10="Rural",-O63+O62-AK4,IF('1 StrategyMix for CarbonTargets'!V10="Peri urban",-P63+P62-AK4,IF('1 StrategyMix for CarbonTargets'!V10="Urban",-Q63+Q62-AK4,0))),IF(A50=0.3,IF('1 StrategyMix for CarbonTargets'!V10="Rural",-O73+O72-AK4,IF('1 StrategyMix for CarbonTargets'!V10="Peri urban",-P73+P72-AK4,IF('1 StrategyMix for CarbonTargets'!V10="Urban",-Q73+Q72-AK4,0))),0))))</f>
        <v>-3.9663806608695631E-2</v>
      </c>
      <c r="AO5" s="89"/>
      <c r="BA5" s="283"/>
      <c r="BB5" s="271"/>
      <c r="BC5" s="240"/>
      <c r="BE5" s="283"/>
      <c r="BF5" s="271"/>
      <c r="BG5" s="240"/>
      <c r="BI5" s="283"/>
      <c r="BJ5" s="271"/>
      <c r="BK5" s="240"/>
      <c r="BM5" s="283"/>
      <c r="BN5" s="271"/>
      <c r="BO5" s="240"/>
      <c r="BQ5" s="283"/>
      <c r="BR5" s="271"/>
      <c r="BS5" s="240"/>
      <c r="BU5" s="283"/>
      <c r="BV5" s="271"/>
      <c r="BW5" s="240"/>
      <c r="EX5" s="89"/>
      <c r="EY5" s="349" t="s">
        <v>246</v>
      </c>
      <c r="EZ5" s="371">
        <f>EY5+0.0001</f>
        <v>1.0001</v>
      </c>
      <c r="FA5" s="371">
        <f t="shared" ref="FA5:FK5" si="2">EZ5+0.0001</f>
        <v>1.0002</v>
      </c>
      <c r="FB5" s="371">
        <f t="shared" si="2"/>
        <v>1.0003</v>
      </c>
      <c r="FC5" s="371">
        <f t="shared" si="2"/>
        <v>1.0004</v>
      </c>
      <c r="FD5" s="371">
        <f t="shared" si="2"/>
        <v>1.0004999999999999</v>
      </c>
      <c r="FE5" s="371">
        <f t="shared" si="2"/>
        <v>1.0005999999999999</v>
      </c>
      <c r="FF5" s="371">
        <f t="shared" si="2"/>
        <v>1.0006999999999999</v>
      </c>
      <c r="FG5" s="371">
        <f t="shared" si="2"/>
        <v>1.0007999999999999</v>
      </c>
      <c r="FH5" s="371">
        <f t="shared" si="2"/>
        <v>1.0008999999999999</v>
      </c>
      <c r="FI5" s="371">
        <f t="shared" si="2"/>
        <v>1.0009999999999999</v>
      </c>
      <c r="FJ5" s="371">
        <f t="shared" si="2"/>
        <v>1.0010999999999999</v>
      </c>
      <c r="FK5" s="371">
        <f t="shared" si="2"/>
        <v>1.0011999999999999</v>
      </c>
      <c r="FM5" s="228"/>
      <c r="FN5" s="349" t="s">
        <v>247</v>
      </c>
      <c r="FO5" s="371">
        <f>FN5+0.0001</f>
        <v>0.80010000000000003</v>
      </c>
      <c r="FP5" s="371">
        <f t="shared" ref="FP5:FZ5" si="3">FO5+0.0001</f>
        <v>0.80020000000000002</v>
      </c>
      <c r="FQ5" s="371">
        <f t="shared" si="3"/>
        <v>0.80030000000000001</v>
      </c>
      <c r="FR5" s="371">
        <f t="shared" si="3"/>
        <v>0.8004</v>
      </c>
      <c r="FS5" s="371">
        <f t="shared" si="3"/>
        <v>0.80049999999999999</v>
      </c>
      <c r="FT5" s="371">
        <f t="shared" si="3"/>
        <v>0.80059999999999998</v>
      </c>
      <c r="FU5" s="371">
        <f t="shared" si="3"/>
        <v>0.80069999999999997</v>
      </c>
      <c r="FV5" s="371">
        <f t="shared" si="3"/>
        <v>0.80079999999999996</v>
      </c>
      <c r="FW5" s="371">
        <f t="shared" si="3"/>
        <v>0.80089999999999995</v>
      </c>
      <c r="FX5" s="371">
        <f t="shared" si="3"/>
        <v>0.80099999999999993</v>
      </c>
      <c r="FY5" s="371">
        <f t="shared" si="3"/>
        <v>0.80109999999999992</v>
      </c>
      <c r="FZ5" s="371">
        <f t="shared" si="3"/>
        <v>0.80119999999999991</v>
      </c>
      <c r="GB5" s="89"/>
      <c r="GC5" s="349" t="s">
        <v>248</v>
      </c>
      <c r="GD5" s="371">
        <f>GC5+0.0001</f>
        <v>0.60009999999999997</v>
      </c>
      <c r="GE5" s="371">
        <f t="shared" ref="GE5:GO5" si="4">GD5+0.0001</f>
        <v>0.60019999999999996</v>
      </c>
      <c r="GF5" s="371">
        <f t="shared" si="4"/>
        <v>0.60029999999999994</v>
      </c>
      <c r="GG5" s="371">
        <f t="shared" si="4"/>
        <v>0.60039999999999993</v>
      </c>
      <c r="GH5" s="371">
        <f t="shared" si="4"/>
        <v>0.60049999999999992</v>
      </c>
      <c r="GI5" s="371">
        <f t="shared" si="4"/>
        <v>0.60059999999999991</v>
      </c>
      <c r="GJ5" s="371">
        <f t="shared" si="4"/>
        <v>0.6006999999999999</v>
      </c>
      <c r="GK5" s="371">
        <f t="shared" si="4"/>
        <v>0.60079999999999989</v>
      </c>
      <c r="GL5" s="371">
        <f t="shared" si="4"/>
        <v>0.60089999999999988</v>
      </c>
      <c r="GM5" s="371">
        <f t="shared" si="4"/>
        <v>0.60099999999999987</v>
      </c>
      <c r="GN5" s="371">
        <f t="shared" si="4"/>
        <v>0.60109999999999986</v>
      </c>
      <c r="GO5" s="371">
        <f t="shared" si="4"/>
        <v>0.60119999999999985</v>
      </c>
      <c r="GQ5" s="89"/>
      <c r="GR5" s="349" t="s">
        <v>249</v>
      </c>
      <c r="GS5" s="371">
        <f>GR5+0.0001</f>
        <v>0.40010000000000001</v>
      </c>
      <c r="GT5" s="371">
        <f t="shared" ref="GT5:HD5" si="5">GS5+0.0001</f>
        <v>0.4002</v>
      </c>
      <c r="GU5" s="371">
        <f t="shared" si="5"/>
        <v>0.40029999999999999</v>
      </c>
      <c r="GV5" s="371">
        <f t="shared" si="5"/>
        <v>0.40039999999999998</v>
      </c>
      <c r="GW5" s="371">
        <f t="shared" si="5"/>
        <v>0.40049999999999997</v>
      </c>
      <c r="GX5" s="371">
        <f t="shared" si="5"/>
        <v>0.40059999999999996</v>
      </c>
      <c r="GY5" s="371">
        <f t="shared" si="5"/>
        <v>0.40069999999999995</v>
      </c>
      <c r="GZ5" s="371">
        <f t="shared" si="5"/>
        <v>0.40079999999999993</v>
      </c>
      <c r="HA5" s="371">
        <f t="shared" si="5"/>
        <v>0.40089999999999992</v>
      </c>
      <c r="HB5" s="371">
        <f t="shared" si="5"/>
        <v>0.40099999999999991</v>
      </c>
      <c r="HC5" s="371">
        <f t="shared" si="5"/>
        <v>0.4010999999999999</v>
      </c>
      <c r="HD5" s="371">
        <f t="shared" si="5"/>
        <v>0.40119999999999989</v>
      </c>
      <c r="HF5" s="89"/>
      <c r="HG5" s="349" t="s">
        <v>250</v>
      </c>
      <c r="HH5" s="371">
        <f>HG5+0.0001</f>
        <v>0.2001</v>
      </c>
      <c r="HI5" s="371">
        <f t="shared" ref="HI5:HS5" si="6">HH5+0.0001</f>
        <v>0.20019999999999999</v>
      </c>
      <c r="HJ5" s="371">
        <f t="shared" si="6"/>
        <v>0.20029999999999998</v>
      </c>
      <c r="HK5" s="371">
        <f t="shared" si="6"/>
        <v>0.20039999999999997</v>
      </c>
      <c r="HL5" s="371">
        <f t="shared" si="6"/>
        <v>0.20049999999999996</v>
      </c>
      <c r="HM5" s="371">
        <f t="shared" si="6"/>
        <v>0.20059999999999995</v>
      </c>
      <c r="HN5" s="371">
        <f t="shared" si="6"/>
        <v>0.20069999999999993</v>
      </c>
      <c r="HO5" s="371">
        <f t="shared" si="6"/>
        <v>0.20079999999999992</v>
      </c>
      <c r="HP5" s="371">
        <f t="shared" si="6"/>
        <v>0.20089999999999991</v>
      </c>
      <c r="HQ5" s="371">
        <f t="shared" si="6"/>
        <v>0.2009999999999999</v>
      </c>
      <c r="HR5" s="371">
        <f t="shared" si="6"/>
        <v>0.20109999999999989</v>
      </c>
      <c r="HS5" s="371">
        <f t="shared" si="6"/>
        <v>0.20119999999999988</v>
      </c>
      <c r="HU5" s="89"/>
      <c r="HV5" s="349" t="s">
        <v>251</v>
      </c>
      <c r="HW5" s="371">
        <f>HV5+0.0001</f>
        <v>0.10010000000000001</v>
      </c>
      <c r="HX5" s="371">
        <f t="shared" ref="HX5:IH5" si="7">HW5+0.0001</f>
        <v>0.10020000000000001</v>
      </c>
      <c r="HY5" s="371">
        <f t="shared" si="7"/>
        <v>0.10030000000000001</v>
      </c>
      <c r="HZ5" s="371">
        <f t="shared" si="7"/>
        <v>0.10040000000000002</v>
      </c>
      <c r="IA5" s="371">
        <f t="shared" si="7"/>
        <v>0.10050000000000002</v>
      </c>
      <c r="IB5" s="371">
        <f t="shared" si="7"/>
        <v>0.10060000000000002</v>
      </c>
      <c r="IC5" s="371">
        <f t="shared" si="7"/>
        <v>0.10070000000000003</v>
      </c>
      <c r="ID5" s="371">
        <f t="shared" si="7"/>
        <v>0.10080000000000003</v>
      </c>
      <c r="IE5" s="371">
        <f t="shared" si="7"/>
        <v>0.10090000000000003</v>
      </c>
      <c r="IF5" s="371">
        <f t="shared" si="7"/>
        <v>0.10100000000000003</v>
      </c>
      <c r="IG5" s="371">
        <f t="shared" si="7"/>
        <v>0.10110000000000004</v>
      </c>
      <c r="IH5" s="371">
        <f t="shared" si="7"/>
        <v>0.10120000000000004</v>
      </c>
      <c r="IJ5" s="89"/>
      <c r="IK5" s="349" t="s">
        <v>252</v>
      </c>
      <c r="IL5" s="371">
        <f>IK5+0.0001</f>
        <v>1E-4</v>
      </c>
      <c r="IM5" s="371">
        <f t="shared" ref="IM5:IW5" si="8">IL5+0.0001</f>
        <v>2.0000000000000001E-4</v>
      </c>
      <c r="IN5" s="371">
        <f t="shared" si="8"/>
        <v>3.0000000000000003E-4</v>
      </c>
      <c r="IO5" s="371">
        <f t="shared" si="8"/>
        <v>4.0000000000000002E-4</v>
      </c>
      <c r="IP5" s="371">
        <f t="shared" si="8"/>
        <v>5.0000000000000001E-4</v>
      </c>
      <c r="IQ5" s="371">
        <f t="shared" si="8"/>
        <v>6.0000000000000006E-4</v>
      </c>
      <c r="IR5" s="371">
        <f t="shared" si="8"/>
        <v>7.000000000000001E-4</v>
      </c>
      <c r="IS5" s="371">
        <f t="shared" si="8"/>
        <v>8.0000000000000015E-4</v>
      </c>
      <c r="IT5" s="371">
        <f t="shared" si="8"/>
        <v>9.0000000000000019E-4</v>
      </c>
      <c r="IU5" s="371">
        <f t="shared" si="8"/>
        <v>1.0000000000000002E-3</v>
      </c>
      <c r="IV5" s="371">
        <f t="shared" si="8"/>
        <v>1.1000000000000003E-3</v>
      </c>
      <c r="IW5" s="371">
        <f t="shared" si="8"/>
        <v>1.2000000000000003E-3</v>
      </c>
    </row>
    <row r="6" spans="1:279" ht="58" customHeight="1">
      <c r="A6" s="356">
        <f>'1 StrategyMix for CarbonTargets'!V8</f>
        <v>0.1</v>
      </c>
      <c r="B6" s="247"/>
      <c r="C6" s="247"/>
      <c r="D6" s="247"/>
      <c r="E6" s="247"/>
      <c r="F6" s="247"/>
      <c r="J6" s="316">
        <v>2030</v>
      </c>
      <c r="K6" s="317">
        <v>1</v>
      </c>
      <c r="L6" s="317">
        <f>-H3</f>
        <v>-0.05</v>
      </c>
      <c r="M6" s="317">
        <f>(A6/30)*10</f>
        <v>3.3333333333333333E-2</v>
      </c>
      <c r="N6" s="317"/>
      <c r="O6" s="319">
        <f>AP20*(1+$M$6)</f>
        <v>-9.9200000000000017E-3</v>
      </c>
      <c r="P6" s="319">
        <f>AQ20*(1+$M$6)</f>
        <v>-2.0666666666666672E-3</v>
      </c>
      <c r="Q6" s="319">
        <f>AR20*(1+$M$6)</f>
        <v>-5.3653846153846147E-3</v>
      </c>
      <c r="R6" s="319">
        <f>AS20*(1+$M$6)</f>
        <v>-3.321428571428572E-3</v>
      </c>
      <c r="S6" s="318"/>
      <c r="T6" s="319">
        <f>AU20*(1+$M$6)</f>
        <v>-1.7347931873479324E-2</v>
      </c>
      <c r="U6" s="319">
        <f>AV20*(1+$M$6)</f>
        <v>-3.5952960259529605E-2</v>
      </c>
      <c r="V6" s="319">
        <f>AW20*(1+$M$6)</f>
        <v>-8.4476885644768851E-2</v>
      </c>
      <c r="W6" s="318"/>
      <c r="X6" s="397">
        <f>BX20*(1+$M$6)</f>
        <v>-3.1345471023965135E-2</v>
      </c>
      <c r="Y6" s="397">
        <f>BY20*(1+$M$6)</f>
        <v>-6.1770546086956542E-2</v>
      </c>
      <c r="Z6" s="319">
        <f>AY20*(1+$M$6)</f>
        <v>-5.1569411764705864E-2</v>
      </c>
      <c r="AA6" s="319">
        <f>AZ20*(1+$M$6)</f>
        <v>2.5975703703703694E-3</v>
      </c>
      <c r="AB6" s="319">
        <f>BC20*(1+$M$6)</f>
        <v>-7.7213182608695582E-3</v>
      </c>
      <c r="AC6" s="319">
        <f>BD20*(1+$M$6)</f>
        <v>2.5975703703703694E-3</v>
      </c>
      <c r="AD6" s="319">
        <f>BG20*(1+$M$6)</f>
        <v>-7.7213182608695721E-3</v>
      </c>
      <c r="AE6" s="319">
        <f>BH20*(1+$M$6)</f>
        <v>5.0095999999999986E-3</v>
      </c>
      <c r="AF6" s="319">
        <f>BK20*(1+$M$6)</f>
        <v>-1.5442636521739135E-2</v>
      </c>
      <c r="AG6" s="319">
        <f>BL20*(1+$M$6)</f>
        <v>5.0095999999999986E-3</v>
      </c>
      <c r="AH6" s="319">
        <f>BO20*(1+$M$6)</f>
        <v>-1.5442636521739125E-2</v>
      </c>
      <c r="AI6" s="320">
        <f>BP20*(1+$M$6)</f>
        <v>5.0095999999999986E-3</v>
      </c>
      <c r="AJ6" s="319">
        <f>BS20*(1+$M$6)</f>
        <v>-1.5442636521739142E-2</v>
      </c>
      <c r="AK6" s="320">
        <f>BT20*(1+$M$6)</f>
        <v>5.0095999999999986E-3</v>
      </c>
      <c r="AL6" s="321">
        <f>BW20*(1+$M$6)</f>
        <v>-1.5442636521739122E-2</v>
      </c>
      <c r="AM6" s="321">
        <f>BX20*(1+$M$6)</f>
        <v>-3.1345471023965135E-2</v>
      </c>
      <c r="AN6" s="321">
        <f>BY20*(1+$M$6)</f>
        <v>-6.1770546086956542E-2</v>
      </c>
      <c r="AO6" s="326" t="s">
        <v>169</v>
      </c>
      <c r="AP6" s="322">
        <f>'1 StrategyMix for CarbonTargets'!Y17</f>
        <v>2021</v>
      </c>
      <c r="AQ6" s="322">
        <f>'1 StrategyMix for CarbonTargets'!Y19</f>
        <v>2023</v>
      </c>
      <c r="AR6" s="322">
        <f>'1 StrategyMix for CarbonTargets'!Y22</f>
        <v>2025</v>
      </c>
      <c r="AS6" s="322">
        <f>'1 StrategyMix for CarbonTargets'!Y25</f>
        <v>2030</v>
      </c>
      <c r="AT6" s="322"/>
      <c r="AU6" s="322">
        <f>'1 StrategyMix for CarbonTargets'!Y29</f>
        <v>2021</v>
      </c>
      <c r="AV6" s="322">
        <f>'1 StrategyMix for CarbonTargets'!Y31</f>
        <v>2021</v>
      </c>
      <c r="AW6" s="322">
        <f>'1 StrategyMix for CarbonTargets'!Y33</f>
        <v>2021</v>
      </c>
      <c r="AX6" s="322"/>
      <c r="AY6" s="322">
        <f>'1 StrategyMix for CarbonTargets'!Y40</f>
        <v>2021</v>
      </c>
      <c r="AZ6" s="322">
        <f>'1 StrategyMix for CarbonTargets'!Y46</f>
        <v>2023</v>
      </c>
      <c r="BA6" s="323">
        <f>'1 StrategyMix for CarbonTargets'!Y38</f>
        <v>2021</v>
      </c>
      <c r="BB6" s="318">
        <f>'1 StrategyMix for CarbonTargets'!Y46</f>
        <v>2023</v>
      </c>
      <c r="BC6" s="324"/>
      <c r="BD6" s="322">
        <f>'1 StrategyMix for CarbonTargets'!Y46</f>
        <v>2023</v>
      </c>
      <c r="BE6" s="323">
        <f>'1 StrategyMix for CarbonTargets'!Y38</f>
        <v>2021</v>
      </c>
      <c r="BF6" s="318">
        <f>'1 StrategyMix for CarbonTargets'!Y46</f>
        <v>2023</v>
      </c>
      <c r="BG6" s="324"/>
      <c r="BH6" s="322">
        <f>'1 StrategyMix for CarbonTargets'!Y46</f>
        <v>2023</v>
      </c>
      <c r="BI6" s="323">
        <f>'1 StrategyMix for CarbonTargets'!Y38</f>
        <v>2021</v>
      </c>
      <c r="BJ6" s="318">
        <f>'1 StrategyMix for CarbonTargets'!Y46</f>
        <v>2023</v>
      </c>
      <c r="BK6" s="324"/>
      <c r="BL6" s="322">
        <f>'1 StrategyMix for CarbonTargets'!Y46</f>
        <v>2023</v>
      </c>
      <c r="BM6" s="323">
        <f>'1 StrategyMix for CarbonTargets'!Y38</f>
        <v>2021</v>
      </c>
      <c r="BN6" s="318">
        <f>'1 StrategyMix for CarbonTargets'!Y46</f>
        <v>2023</v>
      </c>
      <c r="BO6" s="324"/>
      <c r="BP6" s="322">
        <f>'1 StrategyMix for CarbonTargets'!Y46</f>
        <v>2023</v>
      </c>
      <c r="BQ6" s="323">
        <f>'1 StrategyMix for CarbonTargets'!Y38</f>
        <v>2021</v>
      </c>
      <c r="BR6" s="318">
        <f>'1 StrategyMix for CarbonTargets'!Y46</f>
        <v>2023</v>
      </c>
      <c r="BS6" s="324"/>
      <c r="BT6" s="322">
        <f>'1 StrategyMix for CarbonTargets'!Y46</f>
        <v>2023</v>
      </c>
      <c r="BU6" s="323">
        <f>'1 StrategyMix for CarbonTargets'!Y38</f>
        <v>2021</v>
      </c>
      <c r="BV6" s="318">
        <f>'1 StrategyMix for CarbonTargets'!Y46</f>
        <v>2023</v>
      </c>
      <c r="BW6" s="324"/>
      <c r="CB6" s="717" t="s">
        <v>231</v>
      </c>
      <c r="CC6" s="718"/>
      <c r="CD6" s="718"/>
      <c r="CE6" s="718"/>
      <c r="CF6" s="718"/>
      <c r="CG6" s="718"/>
      <c r="CH6" s="718"/>
      <c r="CI6" s="718"/>
      <c r="CJ6" s="719"/>
      <c r="EX6" s="89"/>
      <c r="EY6" t="s">
        <v>226</v>
      </c>
      <c r="EZ6" s="1" t="s">
        <v>227</v>
      </c>
      <c r="FA6" s="288" t="s">
        <v>218</v>
      </c>
      <c r="FB6" s="288" t="s">
        <v>224</v>
      </c>
      <c r="FC6" s="249" t="s">
        <v>216</v>
      </c>
      <c r="FD6" s="249" t="s">
        <v>213</v>
      </c>
      <c r="FE6" s="251" t="s">
        <v>265</v>
      </c>
      <c r="FF6" s="251" t="s">
        <v>254</v>
      </c>
      <c r="FG6" s="251" t="s">
        <v>253</v>
      </c>
      <c r="FH6" s="253" t="s">
        <v>119</v>
      </c>
      <c r="FI6" s="253" t="s">
        <v>118</v>
      </c>
      <c r="FJ6" s="253" t="s">
        <v>127</v>
      </c>
      <c r="FK6" s="345" t="s">
        <v>129</v>
      </c>
      <c r="FM6" s="89"/>
      <c r="FN6" t="s">
        <v>226</v>
      </c>
      <c r="FO6" s="1" t="s">
        <v>227</v>
      </c>
      <c r="FP6" s="288" t="s">
        <v>218</v>
      </c>
      <c r="FQ6" s="288" t="s">
        <v>224</v>
      </c>
      <c r="FR6" s="249" t="s">
        <v>217</v>
      </c>
      <c r="FS6" s="249" t="s">
        <v>211</v>
      </c>
      <c r="FT6" s="251" t="s">
        <v>265</v>
      </c>
      <c r="FU6" s="251" t="s">
        <v>254</v>
      </c>
      <c r="FV6" s="251" t="s">
        <v>253</v>
      </c>
      <c r="FW6" s="253" t="s">
        <v>119</v>
      </c>
      <c r="FX6" s="253" t="s">
        <v>118</v>
      </c>
      <c r="FY6" s="253" t="s">
        <v>127</v>
      </c>
      <c r="FZ6" s="345" t="s">
        <v>129</v>
      </c>
      <c r="GB6" s="89"/>
      <c r="GC6" t="s">
        <v>226</v>
      </c>
      <c r="GD6" s="1" t="s">
        <v>227</v>
      </c>
      <c r="GE6" s="288" t="s">
        <v>218</v>
      </c>
      <c r="GF6" s="288" t="s">
        <v>224</v>
      </c>
      <c r="GG6" s="249" t="s">
        <v>215</v>
      </c>
      <c r="GH6" s="249" t="s">
        <v>210</v>
      </c>
      <c r="GI6" s="251" t="s">
        <v>265</v>
      </c>
      <c r="GJ6" s="251" t="s">
        <v>254</v>
      </c>
      <c r="GK6" s="251" t="s">
        <v>253</v>
      </c>
      <c r="GL6" s="253" t="s">
        <v>119</v>
      </c>
      <c r="GM6" s="253" t="s">
        <v>118</v>
      </c>
      <c r="GN6" s="253" t="s">
        <v>127</v>
      </c>
      <c r="GO6" s="345" t="s">
        <v>129</v>
      </c>
      <c r="GQ6" s="89"/>
      <c r="GR6" t="s">
        <v>226</v>
      </c>
      <c r="GS6" s="1" t="s">
        <v>227</v>
      </c>
      <c r="GT6" s="288" t="s">
        <v>218</v>
      </c>
      <c r="GU6" s="288" t="s">
        <v>224</v>
      </c>
      <c r="GV6" s="249" t="s">
        <v>209</v>
      </c>
      <c r="GW6" s="249" t="s">
        <v>208</v>
      </c>
      <c r="GX6" s="251" t="s">
        <v>265</v>
      </c>
      <c r="GY6" s="251" t="s">
        <v>254</v>
      </c>
      <c r="GZ6" s="251" t="s">
        <v>253</v>
      </c>
      <c r="HA6" s="253" t="s">
        <v>119</v>
      </c>
      <c r="HB6" s="253" t="s">
        <v>118</v>
      </c>
      <c r="HC6" s="253" t="s">
        <v>127</v>
      </c>
      <c r="HD6" s="345" t="s">
        <v>129</v>
      </c>
      <c r="HF6" s="89"/>
      <c r="HG6" t="s">
        <v>226</v>
      </c>
      <c r="HH6" s="1" t="s">
        <v>227</v>
      </c>
      <c r="HI6" s="288" t="s">
        <v>218</v>
      </c>
      <c r="HJ6" s="288" t="s">
        <v>224</v>
      </c>
      <c r="HK6" s="249" t="s">
        <v>207</v>
      </c>
      <c r="HL6" s="249" t="s">
        <v>206</v>
      </c>
      <c r="HM6" s="251" t="s">
        <v>265</v>
      </c>
      <c r="HN6" s="251" t="s">
        <v>254</v>
      </c>
      <c r="HO6" s="251" t="s">
        <v>253</v>
      </c>
      <c r="HP6" s="253" t="s">
        <v>119</v>
      </c>
      <c r="HQ6" s="253" t="s">
        <v>118</v>
      </c>
      <c r="HR6" s="253" t="s">
        <v>127</v>
      </c>
      <c r="HS6" s="345" t="s">
        <v>129</v>
      </c>
      <c r="HU6" s="89"/>
      <c r="HV6" t="s">
        <v>226</v>
      </c>
      <c r="HW6" s="1" t="s">
        <v>227</v>
      </c>
      <c r="HX6" s="288" t="s">
        <v>218</v>
      </c>
      <c r="HY6" s="288" t="s">
        <v>224</v>
      </c>
      <c r="HZ6" s="249" t="s">
        <v>124</v>
      </c>
      <c r="IA6" s="249" t="s">
        <v>205</v>
      </c>
      <c r="IB6" s="251" t="s">
        <v>265</v>
      </c>
      <c r="IC6" s="251" t="s">
        <v>254</v>
      </c>
      <c r="ID6" s="251" t="s">
        <v>253</v>
      </c>
      <c r="IE6" s="253" t="s">
        <v>119</v>
      </c>
      <c r="IF6" s="253" t="s">
        <v>118</v>
      </c>
      <c r="IG6" s="253" t="s">
        <v>127</v>
      </c>
      <c r="IH6" s="345" t="s">
        <v>129</v>
      </c>
      <c r="IJ6" s="89" t="s">
        <v>257</v>
      </c>
      <c r="IK6" t="s">
        <v>226</v>
      </c>
      <c r="IL6" s="1" t="s">
        <v>227</v>
      </c>
      <c r="IM6" s="288" t="s">
        <v>218</v>
      </c>
      <c r="IN6" s="288" t="s">
        <v>224</v>
      </c>
      <c r="IO6" s="249" t="s">
        <v>264</v>
      </c>
      <c r="IP6" s="249" t="s">
        <v>139</v>
      </c>
      <c r="IQ6" s="251" t="s">
        <v>265</v>
      </c>
      <c r="IR6" s="251" t="s">
        <v>254</v>
      </c>
      <c r="IS6" s="251" t="s">
        <v>253</v>
      </c>
      <c r="IT6" s="253" t="s">
        <v>119</v>
      </c>
      <c r="IU6" s="253" t="s">
        <v>118</v>
      </c>
      <c r="IV6" s="253" t="s">
        <v>127</v>
      </c>
      <c r="IW6" s="345" t="s">
        <v>129</v>
      </c>
      <c r="IY6" s="731" t="s">
        <v>258</v>
      </c>
      <c r="IZ6" s="731"/>
      <c r="JA6" s="731"/>
      <c r="JB6" s="731"/>
      <c r="JC6" s="731"/>
      <c r="JD6" s="731"/>
      <c r="JE6" s="731"/>
      <c r="JF6" s="731"/>
      <c r="JG6" s="731"/>
      <c r="JH6" s="731"/>
      <c r="JI6" s="731"/>
      <c r="JJ6" s="731"/>
      <c r="JK6" s="731"/>
      <c r="JL6" s="731"/>
      <c r="JM6" s="731"/>
      <c r="JN6" s="731"/>
      <c r="JO6" s="731"/>
      <c r="JP6" s="731"/>
      <c r="JQ6" s="731"/>
      <c r="JR6" s="731"/>
      <c r="JS6" s="731"/>
    </row>
    <row r="7" spans="1:279" ht="14.5" customHeight="1">
      <c r="A7" s="692" t="s">
        <v>110</v>
      </c>
      <c r="B7" s="692"/>
      <c r="C7" s="692"/>
      <c r="D7" s="692"/>
      <c r="E7" s="692"/>
      <c r="F7" s="692"/>
      <c r="J7" s="271"/>
      <c r="K7" s="315"/>
      <c r="L7" s="315"/>
      <c r="M7" s="271"/>
      <c r="N7" s="271"/>
      <c r="O7" s="273"/>
      <c r="P7" s="273"/>
      <c r="Q7" s="273"/>
      <c r="R7" s="273"/>
      <c r="S7" s="271"/>
      <c r="T7" s="273"/>
      <c r="U7" s="273"/>
      <c r="V7" s="273"/>
      <c r="W7" s="271"/>
      <c r="X7" s="271"/>
      <c r="Y7" s="271"/>
      <c r="Z7" s="273"/>
      <c r="AA7" s="273"/>
      <c r="AB7" s="273"/>
      <c r="AC7" s="273"/>
      <c r="AD7" s="273"/>
      <c r="AE7" s="273"/>
      <c r="AF7" s="273"/>
      <c r="AG7" s="273"/>
      <c r="AH7" s="273"/>
      <c r="AI7" s="270"/>
      <c r="AJ7" s="273"/>
      <c r="AK7" s="270"/>
      <c r="AL7" s="273"/>
      <c r="AM7" s="271"/>
      <c r="AN7" s="271"/>
      <c r="AO7" s="89"/>
      <c r="BA7" s="283"/>
      <c r="BB7" s="271"/>
      <c r="BC7" s="240"/>
      <c r="BE7" s="283"/>
      <c r="BF7" s="271"/>
      <c r="BG7" s="240"/>
      <c r="BI7" s="283"/>
      <c r="BJ7" s="271"/>
      <c r="BK7" s="240"/>
      <c r="BM7" s="283"/>
      <c r="BN7" s="271"/>
      <c r="BO7" s="240"/>
      <c r="BQ7" s="283"/>
      <c r="BR7" s="271"/>
      <c r="BS7" s="240"/>
      <c r="BU7" s="283"/>
      <c r="BV7" s="271"/>
      <c r="BW7" s="240"/>
      <c r="CB7" s="720"/>
      <c r="CC7" s="721"/>
      <c r="CD7" s="721"/>
      <c r="CE7" s="721"/>
      <c r="CF7" s="721"/>
      <c r="CG7" s="721"/>
      <c r="CH7" s="721"/>
      <c r="CI7" s="721"/>
      <c r="CJ7" s="722"/>
      <c r="EX7" s="346">
        <v>1990</v>
      </c>
      <c r="EY7" s="3">
        <v>1</v>
      </c>
      <c r="EZ7" s="3"/>
      <c r="FA7" s="3">
        <f>EY7</f>
        <v>1</v>
      </c>
      <c r="FB7" s="5">
        <v>0</v>
      </c>
      <c r="FC7" s="5">
        <v>0</v>
      </c>
      <c r="FD7" s="5">
        <v>0</v>
      </c>
      <c r="FE7" s="5">
        <v>0</v>
      </c>
      <c r="FF7" s="5">
        <v>0</v>
      </c>
      <c r="FG7" s="5">
        <v>0</v>
      </c>
      <c r="FH7" s="5">
        <v>0</v>
      </c>
      <c r="FI7" s="5">
        <v>0</v>
      </c>
      <c r="FJ7" s="5">
        <v>0</v>
      </c>
      <c r="FK7" s="108">
        <v>0</v>
      </c>
      <c r="FM7" s="346">
        <v>1990</v>
      </c>
      <c r="FN7" s="3">
        <v>1</v>
      </c>
      <c r="FO7" s="3"/>
      <c r="FP7" s="3">
        <f>FN7</f>
        <v>1</v>
      </c>
      <c r="FQ7" s="5">
        <v>0</v>
      </c>
      <c r="FR7" s="5">
        <v>0</v>
      </c>
      <c r="FS7" s="5">
        <v>0</v>
      </c>
      <c r="FT7" s="5">
        <v>0</v>
      </c>
      <c r="FU7" s="5">
        <v>0</v>
      </c>
      <c r="FV7" s="5">
        <v>0</v>
      </c>
      <c r="FW7" s="5">
        <v>0</v>
      </c>
      <c r="FX7" s="5">
        <v>0</v>
      </c>
      <c r="FY7" s="5">
        <v>0</v>
      </c>
      <c r="FZ7" s="108">
        <v>0</v>
      </c>
      <c r="GB7" s="346">
        <v>1990</v>
      </c>
      <c r="GC7" s="3">
        <v>1</v>
      </c>
      <c r="GD7" s="3"/>
      <c r="GE7" s="3">
        <f>GC7</f>
        <v>1</v>
      </c>
      <c r="GF7" s="5">
        <v>0</v>
      </c>
      <c r="GG7" s="5">
        <v>0</v>
      </c>
      <c r="GH7" s="5">
        <v>0</v>
      </c>
      <c r="GI7" s="5">
        <v>0</v>
      </c>
      <c r="GJ7" s="5">
        <v>0</v>
      </c>
      <c r="GK7" s="5">
        <v>0</v>
      </c>
      <c r="GL7" s="5">
        <v>0</v>
      </c>
      <c r="GM7" s="5">
        <v>0</v>
      </c>
      <c r="GN7" s="5">
        <v>0</v>
      </c>
      <c r="GO7" s="108">
        <v>0</v>
      </c>
      <c r="GQ7" s="346">
        <v>1990</v>
      </c>
      <c r="GR7" s="3">
        <v>1</v>
      </c>
      <c r="GS7" s="3"/>
      <c r="GT7" s="3">
        <f>GR7</f>
        <v>1</v>
      </c>
      <c r="GU7" s="5">
        <v>0</v>
      </c>
      <c r="GV7" s="5">
        <v>0</v>
      </c>
      <c r="GW7" s="5">
        <v>0</v>
      </c>
      <c r="GX7" s="5">
        <v>0</v>
      </c>
      <c r="GY7" s="5">
        <v>0</v>
      </c>
      <c r="GZ7" s="5">
        <v>0</v>
      </c>
      <c r="HA7" s="5">
        <v>0</v>
      </c>
      <c r="HB7" s="5">
        <v>0</v>
      </c>
      <c r="HC7" s="5">
        <v>0</v>
      </c>
      <c r="HD7" s="108">
        <v>0</v>
      </c>
      <c r="HF7" s="346">
        <v>1990</v>
      </c>
      <c r="HG7" s="3">
        <v>1</v>
      </c>
      <c r="HH7" s="3"/>
      <c r="HI7" s="3">
        <f>HG7</f>
        <v>1</v>
      </c>
      <c r="HJ7" s="5">
        <v>0</v>
      </c>
      <c r="HK7" s="5">
        <v>0</v>
      </c>
      <c r="HL7" s="5">
        <v>0</v>
      </c>
      <c r="HM7" s="5">
        <v>0</v>
      </c>
      <c r="HN7" s="5">
        <v>0</v>
      </c>
      <c r="HO7" s="5">
        <v>0</v>
      </c>
      <c r="HP7" s="5">
        <v>0</v>
      </c>
      <c r="HQ7" s="5">
        <v>0</v>
      </c>
      <c r="HR7" s="5">
        <v>0</v>
      </c>
      <c r="HS7" s="108">
        <v>0</v>
      </c>
      <c r="HU7" s="346">
        <v>1990</v>
      </c>
      <c r="HV7" s="3">
        <v>1</v>
      </c>
      <c r="HW7" s="3"/>
      <c r="HX7" s="3">
        <f>HV7</f>
        <v>1</v>
      </c>
      <c r="HY7" s="5">
        <v>0</v>
      </c>
      <c r="HZ7" s="5">
        <v>0</v>
      </c>
      <c r="IA7" s="5">
        <v>0</v>
      </c>
      <c r="IB7" s="5">
        <v>0</v>
      </c>
      <c r="IC7" s="5">
        <v>0</v>
      </c>
      <c r="ID7" s="5">
        <v>0</v>
      </c>
      <c r="IE7" s="5">
        <v>0</v>
      </c>
      <c r="IF7" s="5">
        <v>0</v>
      </c>
      <c r="IG7" s="5">
        <v>0</v>
      </c>
      <c r="IH7" s="108">
        <v>0</v>
      </c>
      <c r="IJ7" s="346">
        <v>1990</v>
      </c>
      <c r="IK7" s="3">
        <v>1</v>
      </c>
      <c r="IL7" s="3"/>
      <c r="IM7" s="3">
        <f>IK7</f>
        <v>1</v>
      </c>
      <c r="IN7" s="5">
        <v>0</v>
      </c>
      <c r="IO7" s="5">
        <v>0</v>
      </c>
      <c r="IP7" s="5">
        <v>0</v>
      </c>
      <c r="IQ7" s="5">
        <v>0</v>
      </c>
      <c r="IR7" s="5">
        <v>0</v>
      </c>
      <c r="IS7" s="5">
        <v>0</v>
      </c>
      <c r="IT7" s="5">
        <v>0</v>
      </c>
      <c r="IU7" s="5">
        <v>0</v>
      </c>
      <c r="IV7" s="5">
        <v>0</v>
      </c>
      <c r="IW7" s="108">
        <v>0</v>
      </c>
      <c r="IZ7" s="149"/>
      <c r="JA7" s="706" t="s">
        <v>290</v>
      </c>
      <c r="JB7" s="357"/>
      <c r="JC7" s="706" t="s">
        <v>288</v>
      </c>
      <c r="JD7" s="688" t="s">
        <v>289</v>
      </c>
      <c r="JE7" s="688"/>
      <c r="JF7" s="358"/>
      <c r="JG7" s="359"/>
      <c r="JH7" s="364"/>
      <c r="JI7" s="364"/>
      <c r="JJ7" s="359"/>
      <c r="JK7" s="359"/>
      <c r="JL7" s="364"/>
      <c r="JM7" s="364"/>
      <c r="JN7" s="359"/>
      <c r="JO7" s="359"/>
      <c r="JP7" s="364"/>
      <c r="JQ7" s="364"/>
      <c r="JR7" s="359"/>
      <c r="JS7" s="359"/>
    </row>
    <row r="8" spans="1:279">
      <c r="A8" s="260" t="s">
        <v>109</v>
      </c>
      <c r="B8" s="247"/>
      <c r="C8" s="247"/>
      <c r="D8" s="247"/>
      <c r="E8" s="247"/>
      <c r="F8" s="247"/>
      <c r="J8" s="271">
        <v>2030</v>
      </c>
      <c r="K8" s="317">
        <v>1</v>
      </c>
      <c r="L8" s="315">
        <f>-H3</f>
        <v>-0.05</v>
      </c>
      <c r="M8" s="413">
        <f>(A6/30)*10</f>
        <v>3.3333333333333333E-2</v>
      </c>
      <c r="N8" s="271"/>
      <c r="O8" s="319">
        <f>AP20*(1+$M$9)</f>
        <v>-1.0560000000000002E-2</v>
      </c>
      <c r="P8" s="319">
        <f>AQ20*(1+$M$9)</f>
        <v>-2.2000000000000006E-3</v>
      </c>
      <c r="Q8" s="319">
        <f>AR20*(1+$M$9)</f>
        <v>-5.7115384615384606E-3</v>
      </c>
      <c r="R8" s="319">
        <f>AS20*(1+$M$9)</f>
        <v>-3.5357142857142866E-3</v>
      </c>
      <c r="S8" s="318"/>
      <c r="T8" s="319">
        <f>AU20*(1+$M$9)</f>
        <v>-1.846715328467154E-2</v>
      </c>
      <c r="U8" s="319">
        <f>AV20*(1+$M$9)</f>
        <v>-3.8272506082725068E-2</v>
      </c>
      <c r="V8" s="319">
        <f>AW20*(1+$M$9)</f>
        <v>-8.992700729927007E-2</v>
      </c>
      <c r="W8" s="271"/>
      <c r="X8" s="397">
        <f>BX20*(1+$M$9)</f>
        <v>-3.3367759477124177E-2</v>
      </c>
      <c r="Y8" s="397">
        <f>BY20*(1+$M$9)</f>
        <v>-6.5755742608695669E-2</v>
      </c>
      <c r="Z8" s="319">
        <f>AY20*(1+$M$9)</f>
        <v>-5.4896470588235276E-2</v>
      </c>
      <c r="AA8" s="319">
        <f>AZ20*(1+$M$9)</f>
        <v>2.7651555555555547E-3</v>
      </c>
      <c r="AB8" s="319">
        <f>BC20*(1+$M$9)</f>
        <v>-8.21946782608695E-3</v>
      </c>
      <c r="AC8" s="319">
        <f>BD20*(1+$M$9)</f>
        <v>2.7651555555555547E-3</v>
      </c>
      <c r="AD8" s="319">
        <f>BG20*(1+$M$9)</f>
        <v>-8.2194678260869639E-3</v>
      </c>
      <c r="AE8" s="319">
        <f>BH20*(1+$M$9)</f>
        <v>5.3327999999999987E-3</v>
      </c>
      <c r="AF8" s="319">
        <f>BK20*(1+$M$9)</f>
        <v>-1.6438935652173917E-2</v>
      </c>
      <c r="AG8" s="319">
        <f>BL20*(1+$M$9)</f>
        <v>5.3327999999999987E-3</v>
      </c>
      <c r="AH8" s="319">
        <f>BO20*(1+$M$9)</f>
        <v>-1.6438935652173907E-2</v>
      </c>
      <c r="AI8" s="320">
        <f>BP20*(1+$M$9)</f>
        <v>5.3327999999999987E-3</v>
      </c>
      <c r="AJ8" s="319">
        <f>BS20*(1+$M$9)</f>
        <v>-1.6438935652173924E-2</v>
      </c>
      <c r="AK8" s="320">
        <f>BT20*(1+$M$9)</f>
        <v>5.3327999999999987E-3</v>
      </c>
      <c r="AL8" s="321">
        <f>BW20*(1+$M$9)</f>
        <v>-1.6438935652173903E-2</v>
      </c>
      <c r="AM8" s="271"/>
      <c r="AN8" s="271"/>
      <c r="AO8" s="89"/>
      <c r="BA8" s="283"/>
      <c r="BB8" s="271"/>
      <c r="BC8" s="240"/>
      <c r="BE8" s="283"/>
      <c r="BF8" s="271"/>
      <c r="BG8" s="240"/>
      <c r="BI8" s="283"/>
      <c r="BJ8" s="271"/>
      <c r="BK8" s="240"/>
      <c r="BM8" s="283"/>
      <c r="BN8" s="271"/>
      <c r="BO8" s="240"/>
      <c r="BQ8" s="283"/>
      <c r="BR8" s="271"/>
      <c r="BS8" s="240"/>
      <c r="BU8" s="283"/>
      <c r="BV8" s="271"/>
      <c r="BW8" s="240"/>
      <c r="CB8" s="720"/>
      <c r="CC8" s="721"/>
      <c r="CD8" s="721"/>
      <c r="CE8" s="721"/>
      <c r="CF8" s="721"/>
      <c r="CG8" s="721"/>
      <c r="CH8" s="721"/>
      <c r="CI8" s="721"/>
      <c r="CJ8" s="722"/>
      <c r="EX8" s="89">
        <v>2000</v>
      </c>
      <c r="EY8" s="5">
        <f>$A$3/3+EY$7</f>
        <v>0.98333333333333328</v>
      </c>
      <c r="EZ8" s="5"/>
      <c r="FA8" s="3">
        <f>EY8</f>
        <v>0.98333333333333328</v>
      </c>
      <c r="FB8" s="5">
        <v>0</v>
      </c>
      <c r="FC8" s="5">
        <v>0</v>
      </c>
      <c r="FD8" s="5">
        <v>0</v>
      </c>
      <c r="FE8" s="5">
        <v>0</v>
      </c>
      <c r="FF8" s="5">
        <v>0</v>
      </c>
      <c r="FG8" s="5">
        <v>0</v>
      </c>
      <c r="FH8" s="5">
        <v>0</v>
      </c>
      <c r="FI8" s="5">
        <v>0</v>
      </c>
      <c r="FJ8" s="5">
        <v>0</v>
      </c>
      <c r="FK8" s="108">
        <v>0</v>
      </c>
      <c r="FM8" s="89">
        <v>2000</v>
      </c>
      <c r="FN8" s="5">
        <f>$A$3/3+FN$7</f>
        <v>0.98333333333333328</v>
      </c>
      <c r="FO8" s="5"/>
      <c r="FP8" s="3">
        <f>FN8</f>
        <v>0.98333333333333328</v>
      </c>
      <c r="FQ8" s="5">
        <v>0</v>
      </c>
      <c r="FR8" s="5">
        <v>0</v>
      </c>
      <c r="FS8" s="5">
        <v>0</v>
      </c>
      <c r="FT8" s="5">
        <v>0</v>
      </c>
      <c r="FU8" s="5">
        <v>0</v>
      </c>
      <c r="FV8" s="5">
        <v>0</v>
      </c>
      <c r="FW8" s="5">
        <v>0</v>
      </c>
      <c r="FX8" s="5">
        <v>0</v>
      </c>
      <c r="FY8" s="5">
        <v>0</v>
      </c>
      <c r="FZ8" s="108">
        <v>0</v>
      </c>
      <c r="GB8" s="89">
        <v>2000</v>
      </c>
      <c r="GC8" s="5">
        <f>$A$3/3+GC$7</f>
        <v>0.98333333333333328</v>
      </c>
      <c r="GD8" s="5"/>
      <c r="GE8" s="3">
        <f>GC8</f>
        <v>0.98333333333333328</v>
      </c>
      <c r="GF8" s="5">
        <v>0</v>
      </c>
      <c r="GG8" s="5">
        <v>0</v>
      </c>
      <c r="GH8" s="5">
        <v>0</v>
      </c>
      <c r="GI8" s="5">
        <v>0</v>
      </c>
      <c r="GJ8" s="5">
        <v>0</v>
      </c>
      <c r="GK8" s="5">
        <v>0</v>
      </c>
      <c r="GL8" s="5">
        <v>0</v>
      </c>
      <c r="GM8" s="5">
        <v>0</v>
      </c>
      <c r="GN8" s="5">
        <v>0</v>
      </c>
      <c r="GO8" s="108">
        <v>0</v>
      </c>
      <c r="GQ8" s="89">
        <v>2000</v>
      </c>
      <c r="GR8" s="5">
        <f>$A$3/3+GR$7</f>
        <v>0.98333333333333328</v>
      </c>
      <c r="GS8" s="5"/>
      <c r="GT8" s="3">
        <f>GR8</f>
        <v>0.98333333333333328</v>
      </c>
      <c r="GU8" s="5">
        <v>0</v>
      </c>
      <c r="GV8" s="5">
        <v>0</v>
      </c>
      <c r="GW8" s="5">
        <v>0</v>
      </c>
      <c r="GX8" s="5">
        <v>0</v>
      </c>
      <c r="GY8" s="5">
        <v>0</v>
      </c>
      <c r="GZ8" s="5">
        <v>0</v>
      </c>
      <c r="HA8" s="5">
        <v>0</v>
      </c>
      <c r="HB8" s="5">
        <v>0</v>
      </c>
      <c r="HC8" s="5">
        <v>0</v>
      </c>
      <c r="HD8" s="108">
        <v>0</v>
      </c>
      <c r="HF8" s="89">
        <v>2000</v>
      </c>
      <c r="HG8" s="5">
        <f>$A$3/3+HG$7</f>
        <v>0.98333333333333328</v>
      </c>
      <c r="HH8" s="5"/>
      <c r="HI8" s="3">
        <f>HG8</f>
        <v>0.98333333333333328</v>
      </c>
      <c r="HJ8" s="5">
        <v>0</v>
      </c>
      <c r="HK8" s="5">
        <v>0</v>
      </c>
      <c r="HL8" s="5">
        <v>0</v>
      </c>
      <c r="HM8" s="5">
        <v>0</v>
      </c>
      <c r="HN8" s="5">
        <v>0</v>
      </c>
      <c r="HO8" s="5">
        <v>0</v>
      </c>
      <c r="HP8" s="5">
        <v>0</v>
      </c>
      <c r="HQ8" s="5">
        <v>0</v>
      </c>
      <c r="HR8" s="5">
        <v>0</v>
      </c>
      <c r="HS8" s="108">
        <v>0</v>
      </c>
      <c r="HU8" s="89">
        <v>2000</v>
      </c>
      <c r="HV8" s="5">
        <f>$A$3/3+HV$7</f>
        <v>0.98333333333333328</v>
      </c>
      <c r="HW8" s="5"/>
      <c r="HX8" s="3">
        <f>HV8</f>
        <v>0.98333333333333328</v>
      </c>
      <c r="HY8" s="5">
        <v>0</v>
      </c>
      <c r="HZ8" s="5">
        <v>0</v>
      </c>
      <c r="IA8" s="5">
        <v>0</v>
      </c>
      <c r="IB8" s="5">
        <v>0</v>
      </c>
      <c r="IC8" s="5">
        <v>0</v>
      </c>
      <c r="ID8" s="5">
        <v>0</v>
      </c>
      <c r="IE8" s="5">
        <v>0</v>
      </c>
      <c r="IF8" s="5">
        <v>0</v>
      </c>
      <c r="IG8" s="5">
        <v>0</v>
      </c>
      <c r="IH8" s="108">
        <v>0</v>
      </c>
      <c r="IJ8" s="89">
        <v>2000</v>
      </c>
      <c r="IK8" s="5">
        <f>$A$3/3+IK$7</f>
        <v>0.98333333333333328</v>
      </c>
      <c r="IL8" s="5"/>
      <c r="IM8" s="3">
        <f>IK8</f>
        <v>0.98333333333333328</v>
      </c>
      <c r="IN8" s="5">
        <v>0</v>
      </c>
      <c r="IO8" s="5">
        <v>0</v>
      </c>
      <c r="IP8" s="5">
        <v>0</v>
      </c>
      <c r="IQ8" s="5">
        <v>0</v>
      </c>
      <c r="IR8" s="5">
        <v>0</v>
      </c>
      <c r="IS8" s="5">
        <v>0</v>
      </c>
      <c r="IT8" s="5">
        <v>0</v>
      </c>
      <c r="IU8" s="5">
        <v>0</v>
      </c>
      <c r="IV8" s="5">
        <v>0</v>
      </c>
      <c r="IW8" s="108">
        <v>0</v>
      </c>
      <c r="IZ8" s="149"/>
      <c r="JA8" s="706"/>
      <c r="JB8" s="357"/>
      <c r="JC8" s="706"/>
      <c r="JD8" s="688"/>
      <c r="JE8" s="688"/>
      <c r="JF8" s="358"/>
      <c r="JG8" s="360" t="s">
        <v>246</v>
      </c>
      <c r="JH8" s="365"/>
      <c r="JI8" s="365" t="s">
        <v>247</v>
      </c>
      <c r="JJ8" s="360"/>
      <c r="JK8" s="360" t="s">
        <v>248</v>
      </c>
      <c r="JL8" s="365"/>
      <c r="JM8" s="365" t="s">
        <v>249</v>
      </c>
      <c r="JN8" s="360"/>
      <c r="JO8" s="360" t="s">
        <v>250</v>
      </c>
      <c r="JP8" s="365"/>
      <c r="JQ8" s="365" t="s">
        <v>251</v>
      </c>
      <c r="JR8" s="360"/>
      <c r="JS8" s="360" t="s">
        <v>252</v>
      </c>
    </row>
    <row r="9" spans="1:279" ht="14.5" customHeight="1">
      <c r="A9" s="259">
        <f>'1 StrategyMix for CarbonTargets'!V12</f>
        <v>0.5</v>
      </c>
      <c r="B9" s="247"/>
      <c r="C9" s="247"/>
      <c r="D9" s="247"/>
      <c r="E9" s="247"/>
      <c r="F9" s="247"/>
      <c r="J9" s="316">
        <v>2050</v>
      </c>
      <c r="K9" s="317">
        <v>1</v>
      </c>
      <c r="L9" s="317">
        <f>-H3</f>
        <v>-0.05</v>
      </c>
      <c r="M9" s="317">
        <f>A6</f>
        <v>0.1</v>
      </c>
      <c r="N9" s="317"/>
      <c r="O9" s="319">
        <f>AP40*(1+$M$9)</f>
        <v>-3.1679999999999993E-2</v>
      </c>
      <c r="P9" s="319">
        <f>AQ40*(1+$M$9)</f>
        <v>-7.7000000000000055E-3</v>
      </c>
      <c r="Q9" s="319">
        <f>AR40*(1+$M$9)</f>
        <v>-2.4749999999999998E-2</v>
      </c>
      <c r="R9" s="319">
        <f>AS40*(1+$M$9)</f>
        <v>-7.4249999999999983E-2</v>
      </c>
      <c r="S9" s="318"/>
      <c r="T9" s="319">
        <f>AU40*(1+$M$9)</f>
        <v>-5.5401459854014588E-2</v>
      </c>
      <c r="U9" s="319">
        <f>AV40*(1+$M$9)</f>
        <v>-0.11481751824817528</v>
      </c>
      <c r="V9" s="319">
        <f>AW40*(1+$M$9)</f>
        <v>-0.26978102189781039</v>
      </c>
      <c r="W9" s="318"/>
      <c r="X9" s="397">
        <f>BX40*(1+$M$9)</f>
        <v>-1.7973511111111142E-2</v>
      </c>
      <c r="Y9" s="397">
        <f>BY40*(1+$M$9)</f>
        <v>-0.34139379923478275</v>
      </c>
      <c r="Z9" s="319">
        <f>AY40*(1+$M$9)</f>
        <v>-9.3323999999999976E-2</v>
      </c>
      <c r="AA9" s="319">
        <f>AZ40*(1+$M$9)</f>
        <v>9.6780444444444398E-3</v>
      </c>
      <c r="AB9" s="319">
        <f>BC40*(1+$M$9)</f>
        <v>-4.2674224904347823E-2</v>
      </c>
      <c r="AC9" s="319">
        <f>BD40*(1+$M$9)</f>
        <v>9.6780444444444398E-3</v>
      </c>
      <c r="AD9" s="319">
        <f>BG40*(1+$M$9)</f>
        <v>-4.2674224904347864E-2</v>
      </c>
      <c r="AE9" s="319">
        <f>BH40*(1+$M$9)</f>
        <v>1.8664799999999978E-2</v>
      </c>
      <c r="AF9" s="319">
        <f>BK40*(1+$M$9)</f>
        <v>-8.5348449808695714E-2</v>
      </c>
      <c r="AG9" s="319">
        <f>BL40*(1+$M$9)</f>
        <v>1.8664799999999978E-2</v>
      </c>
      <c r="AH9" s="319">
        <f>BO40*(1+$M$9)</f>
        <v>-8.5348449808695617E-2</v>
      </c>
      <c r="AI9" s="320">
        <f>BP40*(1+$M$9)</f>
        <v>1.8664799999999978E-2</v>
      </c>
      <c r="AJ9" s="319">
        <f>BS40*(1+$M$9)</f>
        <v>-8.534844980869577E-2</v>
      </c>
      <c r="AK9" s="320">
        <f>BT40*(1+$M$9)</f>
        <v>1.8664799999999978E-2</v>
      </c>
      <c r="AL9" s="321">
        <f>BW40*(1+$M$9)</f>
        <v>-8.5348449808695645E-2</v>
      </c>
      <c r="AM9" s="321">
        <f>BX40*(1+$M$9)</f>
        <v>-1.7973511111111142E-2</v>
      </c>
      <c r="AN9" s="321">
        <f>BY40*(1+$M$9)</f>
        <v>-0.34139379923478275</v>
      </c>
      <c r="AO9" s="326" t="s">
        <v>170</v>
      </c>
      <c r="AP9" s="322">
        <f>'1 StrategyMix for CarbonTargets'!Z17</f>
        <v>2050</v>
      </c>
      <c r="AQ9" s="322">
        <f>'1 StrategyMix for CarbonTargets'!Z19</f>
        <v>2050</v>
      </c>
      <c r="AR9" s="322">
        <f>'1 StrategyMix for CarbonTargets'!Z22</f>
        <v>2050</v>
      </c>
      <c r="AS9" s="322">
        <f>'1 StrategyMix for CarbonTargets'!Z25</f>
        <v>2050</v>
      </c>
      <c r="AT9" s="322"/>
      <c r="AU9" s="322">
        <f>'1 StrategyMix for CarbonTargets'!Z29</f>
        <v>2050</v>
      </c>
      <c r="AV9" s="322">
        <f>'1 StrategyMix for CarbonTargets'!Z31</f>
        <v>2050</v>
      </c>
      <c r="AW9" s="322">
        <f>'1 StrategyMix for CarbonTargets'!Z33</f>
        <v>2050</v>
      </c>
      <c r="AX9" s="322"/>
      <c r="AY9" s="322">
        <f>'1 StrategyMix for CarbonTargets'!Z40</f>
        <v>2037</v>
      </c>
      <c r="AZ9" s="318">
        <f>('1 StrategyMix for CarbonTargets'!$Z$46)</f>
        <v>2050</v>
      </c>
      <c r="BA9" s="323">
        <f>'1 StrategyMix for CarbonTargets'!Z38</f>
        <v>2050</v>
      </c>
      <c r="BB9" s="318">
        <f>('1 StrategyMix for CarbonTargets'!$Z$46)</f>
        <v>2050</v>
      </c>
      <c r="BC9" s="324"/>
      <c r="BD9" s="318">
        <f>('1 StrategyMix for CarbonTargets'!$Z$46)</f>
        <v>2050</v>
      </c>
      <c r="BE9" s="323">
        <f>'1 StrategyMix for CarbonTargets'!Z38</f>
        <v>2050</v>
      </c>
      <c r="BF9" s="318">
        <f>('1 StrategyMix for CarbonTargets'!$Z$46)</f>
        <v>2050</v>
      </c>
      <c r="BG9" s="324"/>
      <c r="BH9" s="318">
        <f>('1 StrategyMix for CarbonTargets'!$Z$46)</f>
        <v>2050</v>
      </c>
      <c r="BI9" s="323">
        <f>'1 StrategyMix for CarbonTargets'!Z38</f>
        <v>2050</v>
      </c>
      <c r="BJ9" s="318">
        <f>('1 StrategyMix for CarbonTargets'!$Z$46)</f>
        <v>2050</v>
      </c>
      <c r="BK9" s="324"/>
      <c r="BL9" s="318">
        <f>('1 StrategyMix for CarbonTargets'!$Z$46)</f>
        <v>2050</v>
      </c>
      <c r="BM9" s="323">
        <f>'1 StrategyMix for CarbonTargets'!Z38</f>
        <v>2050</v>
      </c>
      <c r="BN9" s="318">
        <f>('1 StrategyMix for CarbonTargets'!$Z$46)</f>
        <v>2050</v>
      </c>
      <c r="BO9" s="324"/>
      <c r="BP9" s="318">
        <f>('1 StrategyMix for CarbonTargets'!$Z$46)</f>
        <v>2050</v>
      </c>
      <c r="BQ9" s="323">
        <f>'1 StrategyMix for CarbonTargets'!Z38</f>
        <v>2050</v>
      </c>
      <c r="BR9" s="318">
        <f>('1 StrategyMix for CarbonTargets'!$Z$46)</f>
        <v>2050</v>
      </c>
      <c r="BS9" s="324"/>
      <c r="BT9" s="318">
        <f>('1 StrategyMix for CarbonTargets'!$Z$46)</f>
        <v>2050</v>
      </c>
      <c r="BU9" s="323">
        <f>'1 StrategyMix for CarbonTargets'!Z38</f>
        <v>2050</v>
      </c>
      <c r="BV9" s="318">
        <f>('1 StrategyMix for CarbonTargets'!$Z$46)</f>
        <v>2050</v>
      </c>
      <c r="BW9" s="324"/>
      <c r="CB9" s="720"/>
      <c r="CC9" s="721"/>
      <c r="CD9" s="721"/>
      <c r="CE9" s="721"/>
      <c r="CF9" s="721"/>
      <c r="CG9" s="721"/>
      <c r="CH9" s="721"/>
      <c r="CI9" s="721"/>
      <c r="CJ9" s="722"/>
      <c r="CL9" s="695" t="s">
        <v>120</v>
      </c>
      <c r="CM9" s="695"/>
      <c r="CN9" s="695"/>
      <c r="CO9" s="695"/>
      <c r="CP9" s="695"/>
      <c r="CQ9" s="695"/>
      <c r="CR9" s="691"/>
      <c r="CS9" s="691"/>
      <c r="CT9" s="691"/>
      <c r="CU9" s="707" t="s">
        <v>159</v>
      </c>
      <c r="CV9" s="707"/>
      <c r="CW9" s="707"/>
      <c r="CX9" s="707"/>
      <c r="CY9" s="707"/>
      <c r="CZ9" s="707"/>
      <c r="DA9" s="707"/>
      <c r="DB9" s="707"/>
      <c r="DC9" s="707"/>
      <c r="DD9" s="707"/>
      <c r="DE9" s="707"/>
      <c r="DF9" s="707"/>
      <c r="DG9" s="707"/>
      <c r="EX9" s="346">
        <v>2010</v>
      </c>
      <c r="EY9" s="5">
        <f>$A$3/3+EY$8</f>
        <v>0.96666666666666656</v>
      </c>
      <c r="EZ9" s="5"/>
      <c r="FA9" s="3">
        <f>EY9</f>
        <v>0.96666666666666656</v>
      </c>
      <c r="FB9" s="5">
        <v>0</v>
      </c>
      <c r="FC9" s="5">
        <v>0</v>
      </c>
      <c r="FD9" s="5">
        <v>0</v>
      </c>
      <c r="FE9" s="5">
        <v>0</v>
      </c>
      <c r="FF9" s="5">
        <v>0</v>
      </c>
      <c r="FG9" s="5">
        <v>0</v>
      </c>
      <c r="FH9" s="5">
        <v>0</v>
      </c>
      <c r="FI9" s="5">
        <v>0</v>
      </c>
      <c r="FJ9" s="5">
        <v>0</v>
      </c>
      <c r="FK9" s="108">
        <v>0</v>
      </c>
      <c r="FL9" s="2"/>
      <c r="FM9" s="346">
        <v>2010</v>
      </c>
      <c r="FN9" s="5">
        <f>$A$3/3+FN$8</f>
        <v>0.96666666666666656</v>
      </c>
      <c r="FO9" s="5"/>
      <c r="FP9" s="3">
        <f>FN9</f>
        <v>0.96666666666666656</v>
      </c>
      <c r="FQ9" s="5">
        <v>0</v>
      </c>
      <c r="FR9" s="5">
        <v>0</v>
      </c>
      <c r="FS9" s="5">
        <v>0</v>
      </c>
      <c r="FT9" s="5">
        <v>0</v>
      </c>
      <c r="FU9" s="5">
        <v>0</v>
      </c>
      <c r="FV9" s="5">
        <v>0</v>
      </c>
      <c r="FW9" s="5">
        <v>0</v>
      </c>
      <c r="FX9" s="5">
        <v>0</v>
      </c>
      <c r="FY9" s="5">
        <v>0</v>
      </c>
      <c r="FZ9" s="108">
        <v>0</v>
      </c>
      <c r="GA9" s="2"/>
      <c r="GB9" s="346">
        <v>2010</v>
      </c>
      <c r="GC9" s="5">
        <f>$A$3/3+GC$8</f>
        <v>0.96666666666666656</v>
      </c>
      <c r="GD9" s="5"/>
      <c r="GE9" s="3">
        <f>GC9</f>
        <v>0.96666666666666656</v>
      </c>
      <c r="GF9" s="5">
        <v>0</v>
      </c>
      <c r="GG9" s="5">
        <v>0</v>
      </c>
      <c r="GH9" s="5">
        <v>0</v>
      </c>
      <c r="GI9" s="5">
        <v>0</v>
      </c>
      <c r="GJ9" s="5">
        <v>0</v>
      </c>
      <c r="GK9" s="5">
        <v>0</v>
      </c>
      <c r="GL9" s="5">
        <v>0</v>
      </c>
      <c r="GM9" s="5">
        <v>0</v>
      </c>
      <c r="GN9" s="5">
        <v>0</v>
      </c>
      <c r="GO9" s="108">
        <v>0</v>
      </c>
      <c r="GP9" s="2"/>
      <c r="GQ9" s="346">
        <v>2010</v>
      </c>
      <c r="GR9" s="5">
        <f>$A$3/3+GR$8</f>
        <v>0.96666666666666656</v>
      </c>
      <c r="GS9" s="5"/>
      <c r="GT9" s="3">
        <f>GR9</f>
        <v>0.96666666666666656</v>
      </c>
      <c r="GU9" s="5">
        <v>0</v>
      </c>
      <c r="GV9" s="5">
        <v>0</v>
      </c>
      <c r="GW9" s="5">
        <v>0</v>
      </c>
      <c r="GX9" s="5">
        <v>0</v>
      </c>
      <c r="GY9" s="5">
        <v>0</v>
      </c>
      <c r="GZ9" s="5">
        <v>0</v>
      </c>
      <c r="HA9" s="5">
        <v>0</v>
      </c>
      <c r="HB9" s="5">
        <v>0</v>
      </c>
      <c r="HC9" s="5">
        <v>0</v>
      </c>
      <c r="HD9" s="108">
        <v>0</v>
      </c>
      <c r="HE9" s="2"/>
      <c r="HF9" s="346">
        <v>2010</v>
      </c>
      <c r="HG9" s="5">
        <f>$A$3/3+HG$8</f>
        <v>0.96666666666666656</v>
      </c>
      <c r="HH9" s="5"/>
      <c r="HI9" s="3">
        <f>HG9</f>
        <v>0.96666666666666656</v>
      </c>
      <c r="HJ9" s="5">
        <v>0</v>
      </c>
      <c r="HK9" s="5">
        <v>0</v>
      </c>
      <c r="HL9" s="5">
        <v>0</v>
      </c>
      <c r="HM9" s="5">
        <v>0</v>
      </c>
      <c r="HN9" s="5">
        <v>0</v>
      </c>
      <c r="HO9" s="5">
        <v>0</v>
      </c>
      <c r="HP9" s="5">
        <v>0</v>
      </c>
      <c r="HQ9" s="5">
        <v>0</v>
      </c>
      <c r="HR9" s="5">
        <v>0</v>
      </c>
      <c r="HS9" s="108">
        <v>0</v>
      </c>
      <c r="HT9" s="2"/>
      <c r="HU9" s="346">
        <v>2010</v>
      </c>
      <c r="HV9" s="5">
        <f>$A$3/3+HV$8</f>
        <v>0.96666666666666656</v>
      </c>
      <c r="HW9" s="5"/>
      <c r="HX9" s="3">
        <f>HV9</f>
        <v>0.96666666666666656</v>
      </c>
      <c r="HY9" s="5">
        <v>0</v>
      </c>
      <c r="HZ9" s="5">
        <v>0</v>
      </c>
      <c r="IA9" s="5">
        <v>0</v>
      </c>
      <c r="IB9" s="5">
        <v>0</v>
      </c>
      <c r="IC9" s="5">
        <v>0</v>
      </c>
      <c r="ID9" s="5">
        <v>0</v>
      </c>
      <c r="IE9" s="5">
        <v>0</v>
      </c>
      <c r="IF9" s="5">
        <v>0</v>
      </c>
      <c r="IG9" s="5">
        <v>0</v>
      </c>
      <c r="IH9" s="108">
        <v>0</v>
      </c>
      <c r="II9" s="2"/>
      <c r="IJ9" s="346">
        <v>2010</v>
      </c>
      <c r="IK9" s="5">
        <f>$A$3/3+IK$8</f>
        <v>0.96666666666666656</v>
      </c>
      <c r="IL9" s="5"/>
      <c r="IM9" s="3">
        <f>IK9</f>
        <v>0.96666666666666656</v>
      </c>
      <c r="IN9" s="5">
        <v>0</v>
      </c>
      <c r="IO9" s="5">
        <v>0</v>
      </c>
      <c r="IP9" s="5">
        <v>0</v>
      </c>
      <c r="IQ9" s="5">
        <v>0</v>
      </c>
      <c r="IR9" s="5">
        <v>0</v>
      </c>
      <c r="IS9" s="5">
        <v>0</v>
      </c>
      <c r="IT9" s="5">
        <v>0</v>
      </c>
      <c r="IU9" s="5">
        <v>0</v>
      </c>
      <c r="IV9" s="5">
        <v>0</v>
      </c>
      <c r="IW9" s="108">
        <v>0</v>
      </c>
      <c r="IY9" t="s">
        <v>257</v>
      </c>
      <c r="IZ9" s="149"/>
      <c r="JA9" s="706"/>
      <c r="JB9" s="357"/>
      <c r="JC9" s="706"/>
      <c r="JD9" s="688"/>
      <c r="JE9" s="688"/>
      <c r="JF9" s="358"/>
      <c r="JG9" s="359"/>
      <c r="JH9" s="364"/>
      <c r="JI9" s="364"/>
      <c r="JJ9" s="359"/>
      <c r="JK9" s="359"/>
      <c r="JL9" s="364"/>
      <c r="JM9" s="364"/>
      <c r="JN9" s="359"/>
      <c r="JO9" s="359"/>
      <c r="JP9" s="364"/>
      <c r="JQ9" s="364"/>
      <c r="JR9" s="359"/>
      <c r="JS9" s="359"/>
    </row>
    <row r="10" spans="1:279" ht="58.5" thickBot="1">
      <c r="A10" s="248" t="s">
        <v>108</v>
      </c>
      <c r="B10" s="247"/>
      <c r="C10" s="247"/>
      <c r="D10" s="247"/>
      <c r="E10" s="247"/>
      <c r="F10" s="247"/>
      <c r="J10" t="s">
        <v>297</v>
      </c>
      <c r="K10" s="374">
        <f>IF($AL13=1,K6,K9)</f>
        <v>1</v>
      </c>
      <c r="L10" s="65">
        <f>IF($AL13=1,L6,L9)</f>
        <v>-0.05</v>
      </c>
      <c r="M10" s="65">
        <f>IF($AL13=1,M6,M9)</f>
        <v>0.1</v>
      </c>
      <c r="N10" s="65"/>
      <c r="O10" s="65">
        <f>IF($AL13=1,O6,O9)</f>
        <v>-3.1679999999999993E-2</v>
      </c>
      <c r="P10" s="65">
        <f>IF($AL13=1,P6,P9)</f>
        <v>-7.7000000000000055E-3</v>
      </c>
      <c r="Q10" s="65">
        <f>IF($AL13=1,Q6,Q9)</f>
        <v>-2.4749999999999998E-2</v>
      </c>
      <c r="R10" s="65">
        <f>IF($AL13=1,R6,R9)</f>
        <v>-7.4249999999999983E-2</v>
      </c>
      <c r="S10" s="65"/>
      <c r="T10" s="65">
        <f>IF($AL13=1,T6,T9)</f>
        <v>-5.5401459854014588E-2</v>
      </c>
      <c r="U10" s="65">
        <f>IF($AL13=1,U6,U9)</f>
        <v>-0.11481751824817528</v>
      </c>
      <c r="V10" s="65">
        <f>IF($AL13=1,V6,V9)</f>
        <v>-0.26978102189781039</v>
      </c>
      <c r="W10" s="65"/>
      <c r="X10" s="65">
        <f>IF($AL13=1,X6,X9)</f>
        <v>-1.7973511111111142E-2</v>
      </c>
      <c r="Y10" s="65">
        <f>IF($AL13=1,Y6,Y9)</f>
        <v>-0.34139379923478275</v>
      </c>
      <c r="AO10" s="326"/>
      <c r="AP10" s="322"/>
      <c r="AQ10" s="322"/>
      <c r="AR10" s="322"/>
      <c r="AS10" s="322"/>
      <c r="AT10" s="322"/>
      <c r="AU10" s="322"/>
      <c r="AV10" s="322"/>
      <c r="AW10" s="322"/>
      <c r="AX10" s="322"/>
      <c r="AY10" s="322"/>
      <c r="AZ10" s="322"/>
      <c r="BA10" s="323"/>
      <c r="BB10" s="318"/>
      <c r="BC10" s="324"/>
      <c r="BD10" s="322"/>
      <c r="BE10" s="323"/>
      <c r="BF10" s="318"/>
      <c r="BG10" s="324"/>
      <c r="BH10" s="322"/>
      <c r="BI10" s="323"/>
      <c r="BJ10" s="318"/>
      <c r="BK10" s="324"/>
      <c r="BL10" s="322"/>
      <c r="BM10" s="323"/>
      <c r="BN10" s="318"/>
      <c r="BO10" s="324"/>
      <c r="BP10" s="322"/>
      <c r="BQ10" s="323"/>
      <c r="BR10" s="318"/>
      <c r="BS10" s="324"/>
      <c r="BT10" s="322"/>
      <c r="BU10" s="323"/>
      <c r="BV10" s="318"/>
      <c r="BW10" s="324"/>
      <c r="CB10" s="274" t="s">
        <v>232</v>
      </c>
      <c r="CC10" s="274" t="s">
        <v>233</v>
      </c>
      <c r="CD10" s="274" t="s">
        <v>234</v>
      </c>
      <c r="CE10" s="274" t="s">
        <v>235</v>
      </c>
      <c r="CF10" s="274" t="s">
        <v>236</v>
      </c>
      <c r="CG10" s="274" t="s">
        <v>237</v>
      </c>
      <c r="CH10" s="274" t="s">
        <v>238</v>
      </c>
      <c r="CJ10" s="240"/>
      <c r="CL10" s="253"/>
      <c r="CM10" s="253" t="s">
        <v>225</v>
      </c>
      <c r="CN10" s="253" t="s">
        <v>129</v>
      </c>
      <c r="CO10" s="253" t="s">
        <v>127</v>
      </c>
      <c r="CP10" s="253" t="s">
        <v>118</v>
      </c>
      <c r="CQ10" s="253" t="s">
        <v>119</v>
      </c>
      <c r="CR10" s="251" t="s">
        <v>128</v>
      </c>
      <c r="CS10" s="251" t="s">
        <v>122</v>
      </c>
      <c r="CT10" s="251" t="s">
        <v>123</v>
      </c>
      <c r="CU10" s="249" t="s">
        <v>139</v>
      </c>
      <c r="CV10" s="249" t="s">
        <v>205</v>
      </c>
      <c r="CW10" s="249" t="s">
        <v>124</v>
      </c>
      <c r="CX10" s="249" t="s">
        <v>206</v>
      </c>
      <c r="CY10" s="249" t="s">
        <v>207</v>
      </c>
      <c r="CZ10" s="249" t="s">
        <v>208</v>
      </c>
      <c r="DA10" s="249" t="s">
        <v>209</v>
      </c>
      <c r="DB10" s="249" t="s">
        <v>210</v>
      </c>
      <c r="DC10" s="249" t="s">
        <v>215</v>
      </c>
      <c r="DD10" s="249" t="s">
        <v>211</v>
      </c>
      <c r="DE10" s="249" t="s">
        <v>212</v>
      </c>
      <c r="DF10" s="249" t="s">
        <v>213</v>
      </c>
      <c r="DG10" s="249" t="s">
        <v>214</v>
      </c>
      <c r="DM10" s="249" t="s">
        <v>216</v>
      </c>
      <c r="DN10" s="249" t="s">
        <v>217</v>
      </c>
      <c r="DO10" s="249" t="s">
        <v>215</v>
      </c>
      <c r="DP10" s="249" t="s">
        <v>209</v>
      </c>
      <c r="DQ10" s="249" t="s">
        <v>207</v>
      </c>
      <c r="DR10" s="249" t="s">
        <v>124</v>
      </c>
      <c r="DS10" s="249" t="s">
        <v>139</v>
      </c>
      <c r="DT10" s="251" t="s">
        <v>123</v>
      </c>
      <c r="DU10" s="251" t="s">
        <v>122</v>
      </c>
      <c r="DV10" s="251" t="s">
        <v>128</v>
      </c>
      <c r="DW10" s="253" t="s">
        <v>119</v>
      </c>
      <c r="DX10" s="253" t="s">
        <v>118</v>
      </c>
      <c r="DY10" s="253" t="s">
        <v>127</v>
      </c>
      <c r="DZ10" s="253" t="s">
        <v>129</v>
      </c>
      <c r="EA10">
        <v>2020</v>
      </c>
      <c r="EC10" s="288" t="s">
        <v>218</v>
      </c>
      <c r="ED10" s="288" t="s">
        <v>224</v>
      </c>
      <c r="EE10" s="249" t="s">
        <v>214</v>
      </c>
      <c r="EF10" s="249" t="s">
        <v>217</v>
      </c>
      <c r="EG10" s="249" t="s">
        <v>215</v>
      </c>
      <c r="EH10" s="249" t="s">
        <v>209</v>
      </c>
      <c r="EI10" s="249" t="s">
        <v>207</v>
      </c>
      <c r="EJ10" s="249" t="s">
        <v>124</v>
      </c>
      <c r="EK10" s="249" t="s">
        <v>139</v>
      </c>
      <c r="EL10" s="251" t="s">
        <v>123</v>
      </c>
      <c r="EM10" s="251" t="s">
        <v>122</v>
      </c>
      <c r="EN10" s="251" t="s">
        <v>128</v>
      </c>
      <c r="EO10" s="253" t="s">
        <v>119</v>
      </c>
      <c r="EP10" s="253" t="s">
        <v>118</v>
      </c>
      <c r="EQ10" s="253" t="s">
        <v>127</v>
      </c>
      <c r="ER10" s="253" t="s">
        <v>129</v>
      </c>
      <c r="EX10" s="346">
        <v>2020</v>
      </c>
      <c r="EY10" s="278">
        <f>EY$7+$A$3</f>
        <v>0.95</v>
      </c>
      <c r="EZ10" s="278">
        <f>EY7+$A$3</f>
        <v>0.95</v>
      </c>
      <c r="FA10" s="278">
        <f>1-SUM(FC10:FK10)+$A$3</f>
        <v>0.95</v>
      </c>
      <c r="FB10" s="5">
        <v>0</v>
      </c>
      <c r="FC10" s="5">
        <v>0</v>
      </c>
      <c r="FD10" s="5">
        <v>0</v>
      </c>
      <c r="FE10" s="5">
        <v>0</v>
      </c>
      <c r="FF10" s="5">
        <v>0</v>
      </c>
      <c r="FG10" s="5">
        <v>0</v>
      </c>
      <c r="FH10" s="5">
        <v>0</v>
      </c>
      <c r="FI10" s="5">
        <v>0</v>
      </c>
      <c r="FJ10" s="5">
        <v>0</v>
      </c>
      <c r="FK10" s="108">
        <v>0</v>
      </c>
      <c r="FL10" s="1"/>
      <c r="FM10" s="346">
        <v>2020</v>
      </c>
      <c r="FN10" s="278">
        <f>FN$7+$A$3</f>
        <v>0.95</v>
      </c>
      <c r="FO10" s="278">
        <f>FN7+$A$3</f>
        <v>0.95</v>
      </c>
      <c r="FP10" s="278">
        <f>1-SUM(FR10:FZ10)+$A$3</f>
        <v>0.95</v>
      </c>
      <c r="FQ10" s="5">
        <v>0</v>
      </c>
      <c r="FR10" s="5">
        <v>0</v>
      </c>
      <c r="FS10" s="5">
        <v>0</v>
      </c>
      <c r="FT10" s="5">
        <v>0</v>
      </c>
      <c r="FU10" s="5">
        <v>0</v>
      </c>
      <c r="FV10" s="5">
        <v>0</v>
      </c>
      <c r="FW10" s="5">
        <v>0</v>
      </c>
      <c r="FX10" s="5">
        <v>0</v>
      </c>
      <c r="FY10" s="5">
        <v>0</v>
      </c>
      <c r="FZ10" s="108">
        <v>0</v>
      </c>
      <c r="GA10" s="1"/>
      <c r="GB10" s="346">
        <v>2020</v>
      </c>
      <c r="GC10" s="278">
        <f>GC$7+$A$3</f>
        <v>0.95</v>
      </c>
      <c r="GD10" s="278">
        <f>GC7+$A$3</f>
        <v>0.95</v>
      </c>
      <c r="GE10" s="278">
        <f>1-SUM(GG10:GO10)+$A$3</f>
        <v>0.95</v>
      </c>
      <c r="GF10" s="5">
        <v>0</v>
      </c>
      <c r="GG10" s="5">
        <v>0</v>
      </c>
      <c r="GH10" s="5">
        <v>0</v>
      </c>
      <c r="GI10" s="5">
        <v>0</v>
      </c>
      <c r="GJ10" s="5">
        <v>0</v>
      </c>
      <c r="GK10" s="5">
        <v>0</v>
      </c>
      <c r="GL10" s="5">
        <v>0</v>
      </c>
      <c r="GM10" s="5">
        <v>0</v>
      </c>
      <c r="GN10" s="5">
        <v>0</v>
      </c>
      <c r="GO10" s="108">
        <v>0</v>
      </c>
      <c r="GP10" s="1"/>
      <c r="GQ10" s="346">
        <v>2020</v>
      </c>
      <c r="GR10" s="278">
        <f>GR$7+$A$3</f>
        <v>0.95</v>
      </c>
      <c r="GS10" s="278">
        <f>GR7+$A$3</f>
        <v>0.95</v>
      </c>
      <c r="GT10" s="278">
        <f>1-SUM(GV10:HD10)+$A$3</f>
        <v>0.95</v>
      </c>
      <c r="GU10" s="5">
        <v>0</v>
      </c>
      <c r="GV10" s="5">
        <v>0</v>
      </c>
      <c r="GW10" s="5">
        <v>0</v>
      </c>
      <c r="GX10" s="5">
        <v>0</v>
      </c>
      <c r="GY10" s="5">
        <v>0</v>
      </c>
      <c r="GZ10" s="5">
        <v>0</v>
      </c>
      <c r="HA10" s="5">
        <v>0</v>
      </c>
      <c r="HB10" s="5">
        <v>0</v>
      </c>
      <c r="HC10" s="5">
        <v>0</v>
      </c>
      <c r="HD10" s="108">
        <v>0</v>
      </c>
      <c r="HE10" s="1"/>
      <c r="HF10" s="346">
        <v>2020</v>
      </c>
      <c r="HG10" s="278">
        <f>HG$7+$A$3</f>
        <v>0.95</v>
      </c>
      <c r="HH10" s="278">
        <f>HG7+$A$3</f>
        <v>0.95</v>
      </c>
      <c r="HI10" s="278">
        <f>1-SUM(HK10:HS10)+$A$3</f>
        <v>0.95</v>
      </c>
      <c r="HJ10" s="5">
        <v>0</v>
      </c>
      <c r="HK10" s="5">
        <v>0</v>
      </c>
      <c r="HL10" s="5">
        <v>0</v>
      </c>
      <c r="HM10" s="5">
        <v>0</v>
      </c>
      <c r="HN10" s="5">
        <v>0</v>
      </c>
      <c r="HO10" s="5">
        <v>0</v>
      </c>
      <c r="HP10" s="5">
        <v>0</v>
      </c>
      <c r="HQ10" s="5">
        <v>0</v>
      </c>
      <c r="HR10" s="5">
        <v>0</v>
      </c>
      <c r="HS10" s="108">
        <v>0</v>
      </c>
      <c r="HT10" s="1"/>
      <c r="HU10" s="346">
        <v>2020</v>
      </c>
      <c r="HV10" s="278">
        <f>HV$7+$A$3</f>
        <v>0.95</v>
      </c>
      <c r="HW10" s="278">
        <f>HV7+$A$3</f>
        <v>0.95</v>
      </c>
      <c r="HX10" s="278">
        <f>1-SUM(HZ10:IH10)+$A$3</f>
        <v>0.95</v>
      </c>
      <c r="HY10" s="5">
        <v>0</v>
      </c>
      <c r="HZ10" s="5">
        <v>0</v>
      </c>
      <c r="IA10" s="5">
        <v>0</v>
      </c>
      <c r="IB10" s="5">
        <v>0</v>
      </c>
      <c r="IC10" s="5">
        <v>0</v>
      </c>
      <c r="ID10" s="5">
        <v>0</v>
      </c>
      <c r="IE10" s="5">
        <v>0</v>
      </c>
      <c r="IF10" s="5">
        <v>0</v>
      </c>
      <c r="IG10" s="5">
        <v>0</v>
      </c>
      <c r="IH10" s="108">
        <v>0</v>
      </c>
      <c r="II10" s="1"/>
      <c r="IJ10" s="346">
        <v>2020</v>
      </c>
      <c r="IK10" s="278">
        <f>IK$7+$A$3</f>
        <v>0.95</v>
      </c>
      <c r="IL10" s="278">
        <f>IK7+$A$3</f>
        <v>0.95</v>
      </c>
      <c r="IM10" s="278">
        <f>1-SUM(IO10:IW10)+$A$3</f>
        <v>0.95</v>
      </c>
      <c r="IN10" s="5">
        <v>0</v>
      </c>
      <c r="IO10" s="5">
        <v>0</v>
      </c>
      <c r="IP10" s="5">
        <v>0</v>
      </c>
      <c r="IQ10" s="5">
        <v>0</v>
      </c>
      <c r="IR10" s="5">
        <v>0</v>
      </c>
      <c r="IS10" s="5">
        <v>0</v>
      </c>
      <c r="IT10" s="5">
        <v>0</v>
      </c>
      <c r="IU10" s="5">
        <v>0</v>
      </c>
      <c r="IV10" s="5">
        <v>0</v>
      </c>
      <c r="IW10" s="108">
        <v>0</v>
      </c>
      <c r="IY10">
        <f>IJ10</f>
        <v>2020</v>
      </c>
      <c r="IZ10" s="3">
        <f>IM10</f>
        <v>0.95</v>
      </c>
      <c r="JA10" s="353">
        <f>HLOOKUP(JA$3,'Main calculations'!JG$8:JS$39,3,FALSE)</f>
        <v>1</v>
      </c>
      <c r="JB10" s="3">
        <f>IK10</f>
        <v>0.95</v>
      </c>
      <c r="JC10" s="353">
        <f>JB10/EY$10</f>
        <v>1</v>
      </c>
      <c r="JD10" s="368">
        <f>IM10</f>
        <v>0.95</v>
      </c>
      <c r="JE10" s="369">
        <f>JD10/EY$10</f>
        <v>1</v>
      </c>
      <c r="JF10" s="361">
        <f>FA10</f>
        <v>0.95</v>
      </c>
      <c r="JG10" s="362">
        <f>JF10/FA$10</f>
        <v>1</v>
      </c>
      <c r="JH10" s="366">
        <f>FP10</f>
        <v>0.95</v>
      </c>
      <c r="JI10" s="367">
        <f t="shared" ref="JI10:JI39" si="9">JH10/FP$10</f>
        <v>1</v>
      </c>
      <c r="JJ10" s="363">
        <f>GE10</f>
        <v>0.95</v>
      </c>
      <c r="JK10" s="362">
        <f>JJ10/GE$10</f>
        <v>1</v>
      </c>
      <c r="JL10" s="366">
        <f>GT10</f>
        <v>0.95</v>
      </c>
      <c r="JM10" s="367">
        <f>JL10/GT$10</f>
        <v>1</v>
      </c>
      <c r="JN10" s="363">
        <f>HI10</f>
        <v>0.95</v>
      </c>
      <c r="JO10" s="362">
        <f>JN10/HI$10</f>
        <v>1</v>
      </c>
      <c r="JP10" s="366">
        <f>HX10</f>
        <v>0.95</v>
      </c>
      <c r="JQ10" s="367">
        <f>JP10/HX$10</f>
        <v>1</v>
      </c>
      <c r="JR10" s="363">
        <f>IM10</f>
        <v>0.95</v>
      </c>
      <c r="JS10" s="362">
        <f>JR10/IM$10</f>
        <v>1</v>
      </c>
    </row>
    <row r="11" spans="1:279">
      <c r="A11" s="259">
        <f>'1 StrategyMix for CarbonTargets'!V14</f>
        <v>0.6</v>
      </c>
      <c r="B11" s="247"/>
      <c r="C11" s="247"/>
      <c r="D11" s="247"/>
      <c r="E11" s="247"/>
      <c r="F11" s="247"/>
      <c r="V11" t="s">
        <v>301</v>
      </c>
      <c r="Z11" s="3">
        <f>SUM(L6:Y6)</f>
        <v>-0.26823394140884599</v>
      </c>
      <c r="AO11" s="89">
        <v>2021</v>
      </c>
      <c r="AP11" s="170">
        <f>IF($AO11&gt;=AP$6,IF($AO11&lt;=AP$9,AP$4/(AP$9-AP$6+1),AP$4),0)</f>
        <v>-9.6000000000000002E-4</v>
      </c>
      <c r="AQ11" s="170">
        <f>IF($AO11&gt;=AQ$6,IF($AO11&lt;=AQ$9,AQ$4/(AQ$9-AQ$6+1),AQ$4),0)</f>
        <v>0</v>
      </c>
      <c r="AR11" s="170">
        <f>IF($AO11&gt;=AR$6,IF($AO11&lt;=AR$9,AR$4/(AR$9-AR$6+1),AR$4),0)</f>
        <v>0</v>
      </c>
      <c r="AS11" s="170">
        <f>IF($AO11&gt;=AS$6,IF($AO11&lt;=AS$9,AS$4/(AS$9-AS$6+1),AS$4),0)</f>
        <v>0</v>
      </c>
      <c r="AU11" s="170">
        <f>IF($AO11&gt;=AU$6,IF($AO11&lt;=AU$9,AU$4/(AU$9-AU$6+1),AU$4),0)</f>
        <v>-1.6788321167883215E-3</v>
      </c>
      <c r="AV11" s="170">
        <f>IF($AO11&gt;=AV$6,IF($AO11&lt;=AV$9,AV$4/(AV$9-AV$6+1),AV$4),0)</f>
        <v>-3.4793187347931871E-3</v>
      </c>
      <c r="AW11" s="170">
        <f>IF($AO11&gt;=AW$6,IF($AO11&lt;=AW$9,AW$4/(AW$9-AW$6+1),AW$4),0)</f>
        <v>-8.1751824817518255E-3</v>
      </c>
      <c r="AY11" s="170">
        <f>IF($AO11&gt;=AY$6,IF($AO11&lt;=AY$9,AY$4/(AY$9-AY$6+1),AY$4),0)</f>
        <v>-4.9905882352941156E-3</v>
      </c>
      <c r="AZ11" s="170">
        <f>IF($AO11&gt;=AZ$6,IF($AO11&lt;=AZ$9,(-$AY11*0.1)/(AZ$9-AZ$6-1),AZ$4),0)</f>
        <v>0</v>
      </c>
      <c r="BA11" s="284">
        <f>IF($AO11&gt;=BA$6,IF($AO11&lt;=BA$9,AB$5+(BA$4-AB$5)/(BA$9-BA$6+1),BA$4),0)</f>
        <v>-2.0463998191304324E-2</v>
      </c>
      <c r="BB11" s="276">
        <f>IF($AO11&gt;=BB$6,IF($AO11&lt;=BB$9,BB4/(BB$9-BB$6+1),BB$4),0)</f>
        <v>0</v>
      </c>
      <c r="BC11" s="277">
        <f t="shared" ref="BC11:BC12" si="10">BB11*(BA11/BA$4)</f>
        <v>0</v>
      </c>
      <c r="BD11" s="170">
        <f>IF($AO11&gt;=BD$6,IF($AO11&lt;=BD$9,(-$AY11*0.1)/(BD$9-BD$6+1),BD$4),0)</f>
        <v>0</v>
      </c>
      <c r="BE11" s="284">
        <f>IF($AO11&gt;=BE$6,IF($AO11&lt;=BE$9,AD$5+(BE$4-AD$5)/(BE$9-BE$6+1),BE$4),0)</f>
        <v>-2.0463998191304365E-2</v>
      </c>
      <c r="BF11" s="276">
        <f>IF($AO11&gt;=BF$6,IF($AO11&lt;=BF$9,BF4/(BF$9-BF$6+1),BF$4),0)</f>
        <v>0</v>
      </c>
      <c r="BG11" s="277">
        <f t="shared" ref="BG11:BG12" si="11">BF11*(BE11/BE$4)</f>
        <v>0</v>
      </c>
      <c r="BH11" s="170">
        <f>IF($AO11&gt;=BH$6,IF($AO11&lt;=BH$9,(-$AY11*0.2)/(BH$9-BH$6+1),BH$4),0)</f>
        <v>0</v>
      </c>
      <c r="BI11" s="284">
        <f>IF($AO11&gt;=BI$6,IF($AO11&lt;=BI$9,AF$5+(BI$4-AF$5)/(BI$9-BI$6+1),BI$4),0)</f>
        <v>-4.0927996382608717E-2</v>
      </c>
      <c r="BJ11" s="276">
        <f>IF($AO11&gt;=BJ$6,IF($AO11&lt;=BJ$9,BJ4/(BJ$9-BJ$6+1),BJ$4),0)</f>
        <v>0</v>
      </c>
      <c r="BK11" s="277">
        <f t="shared" ref="BK11:BK12" si="12">BJ11*(BI11/BI$4)</f>
        <v>0</v>
      </c>
      <c r="BL11" s="170">
        <f>IF($AO11&gt;=BL$6,IF($AO11&lt;=BL$9,(-$AY11*0.2)/(BL$9-BL$6+1),BL$4),0)</f>
        <v>0</v>
      </c>
      <c r="BM11" s="284">
        <f>IF($AO11&gt;=BM$6,IF($AO11&lt;=BM$9,AH$5+(BM$4-AH$5)/(BM$9-BM$6+1),BM$4),0)</f>
        <v>-4.0927996382608675E-2</v>
      </c>
      <c r="BN11" s="276">
        <f>IF($AO11&gt;=BN$6,IF($AO11&lt;=BN$9,BN4/(BN$9-BN$6+1),BN$4),0)</f>
        <v>0</v>
      </c>
      <c r="BO11" s="277">
        <f t="shared" ref="BO11:BO12" si="13">BN11*(BM11/BM$4)</f>
        <v>0</v>
      </c>
      <c r="BP11" s="170">
        <f>IF($AO11&gt;=BP$6,IF($AO11&lt;=BP$9,(-$AY11*0.2)/(BP$9-BP$6+1),BP$4),0)</f>
        <v>0</v>
      </c>
      <c r="BQ11" s="284">
        <f>IF($AO11&gt;=BQ$6,IF($AO11&lt;=BQ$9,AJ$5+(BQ$4-AJ$5)/(BQ$9-BQ$6+1),BQ$4),0)</f>
        <v>-4.0927996382608731E-2</v>
      </c>
      <c r="BR11" s="276">
        <f>IF($AO11&gt;=BR$6,IF($AO11&lt;=BR$9,BR4/(BR$9-BR$6+1),BR$4),0)</f>
        <v>0</v>
      </c>
      <c r="BS11" s="277">
        <f t="shared" ref="BS11:BS12" si="14">BR11*(BQ11/BQ$4)</f>
        <v>0</v>
      </c>
      <c r="BT11" s="170">
        <f>IF($AO11&gt;=BT$6,IF($AO11&lt;=BT$9,(-$AY11*0.2)/(BT$9-BT$6+1),BT$4),0)</f>
        <v>0</v>
      </c>
      <c r="BU11" s="284">
        <f>IF($AO11&gt;=BU$6,IF($AO11&lt;=BU$9,AL$5+(BU$4-AL$5)/(BU$9-BU$6+1),BU$4),0)</f>
        <v>-4.0927996382608675E-2</v>
      </c>
      <c r="BV11" s="276">
        <f>IF($AO11&gt;=BV$6,IF($AO11&lt;=BV$9,BV4/(BV$9-BV$6+1),BV$4),0)</f>
        <v>0</v>
      </c>
      <c r="BW11" s="278">
        <f t="shared" ref="BW11:BW12" si="15">BV11*(BU11/BU$4)</f>
        <v>0</v>
      </c>
      <c r="BX11" s="389">
        <f>IF(BX$1=0,AY11,IF(BX$1=0.1,AY11+AZ11,IF(BX$1=0.2,AY11+AZ11+BD11,IF(BX$1=0.4,AY11+AZ11+BD11+BH11,IF(BX$1=0.6,AY11+AZ11+BD11+BH11+BL11,IF(BX$1=0.8,AY11+AZ11+BD11+BH11+BL11+BP11,IF(BX$1=1,AY11+AZ11+BD11+BH11+BL11+BT11,0)))))))</f>
        <v>-4.9905882352941156E-3</v>
      </c>
      <c r="BY11" s="390">
        <f>IF(BY$1=0,0,IF(BY$1=0.1,BC11,IF(BY$1=0.2,BC11+BG11,IF(BY$1=0.4,BC11+BG11+BK11,IF(BY$1=0.6,BC11+BG11+BK11+BO11,IF(BY$1=0.8,BC11+BG11+BK11+BO11+BS11,IF(BY$1=1,BC11+BG11+BK11+BO11+BS11+BW11,0)))))))</f>
        <v>0</v>
      </c>
      <c r="BZ11" s="278"/>
      <c r="CB11" s="279">
        <f t="shared" ref="CB11:CB20" si="16">SUM(AP11:AY11)</f>
        <v>-1.928392156862745E-2</v>
      </c>
      <c r="CC11" s="64">
        <f t="shared" ref="CC11:CC20" si="17">SUM(AP11:AZ11)+BC11</f>
        <v>-1.928392156862745E-2</v>
      </c>
      <c r="CD11" s="64">
        <f t="shared" ref="CD11:CD20" si="18">SUM(AP11:AZ11)+BC11+BD11+BG11</f>
        <v>-1.928392156862745E-2</v>
      </c>
      <c r="CE11" s="64">
        <f t="shared" ref="CE11:CE20" si="19">SUM(AP11:AZ11)+BC11+BD11+BG11+BH11+BK11</f>
        <v>-1.928392156862745E-2</v>
      </c>
      <c r="CF11" s="64">
        <f t="shared" ref="CF11:CF20" si="20">SUM(AP11:AZ11)+BC11+BD11+BG11+BH11+BK11+BL11+BO11</f>
        <v>-1.928392156862745E-2</v>
      </c>
      <c r="CG11" s="64">
        <f t="shared" ref="CG11:CG20" si="21">SUM(AP11:AZ11)+BC11+BD11+BG11+BH11+BK11+BL11+BO11+BP11+BS11</f>
        <v>-1.928392156862745E-2</v>
      </c>
      <c r="CH11" s="64">
        <f t="shared" ref="CH11:CH20" si="22">SUM(AP11:AZ11)+BC11+BD11+BG11+BH11+BK11+BL11+BO11+BP11+BS11+BT11+BW11</f>
        <v>-1.928392156862745E-2</v>
      </c>
      <c r="CI11">
        <v>2021</v>
      </c>
      <c r="CJ11" s="240"/>
      <c r="CL11">
        <v>2021</v>
      </c>
      <c r="CM11" s="3">
        <f>1+$A$3</f>
        <v>0.95</v>
      </c>
      <c r="CN11" s="64">
        <f t="shared" ref="CN11:CN40" si="23">CM11+AP11</f>
        <v>0.94903999999999999</v>
      </c>
      <c r="CO11" s="64">
        <f t="shared" ref="CO11:CO40" si="24">CN11+AQ11</f>
        <v>0.94903999999999999</v>
      </c>
      <c r="CP11" s="64">
        <f t="shared" ref="CP11:CP40" si="25">CO11+AR11</f>
        <v>0.94903999999999999</v>
      </c>
      <c r="CQ11" s="64">
        <f t="shared" ref="CQ11:CQ40" si="26">CP11+AS11</f>
        <v>0.94903999999999999</v>
      </c>
      <c r="CR11" s="64">
        <f t="shared" ref="CR11:CR40" si="27">CQ11+AU11</f>
        <v>0.94736116788321167</v>
      </c>
      <c r="CS11" s="64">
        <f t="shared" ref="CS11:CS40" si="28">CR11+AV11</f>
        <v>0.94388184914841844</v>
      </c>
      <c r="CT11" s="64">
        <f t="shared" ref="CT11:CT40" si="29">CS11+AW11</f>
        <v>0.93570666666666658</v>
      </c>
      <c r="CU11" s="64">
        <f t="shared" ref="CU11:CU40" si="30">CT11+AY11</f>
        <v>0.9307160784313725</v>
      </c>
      <c r="CV11" s="64">
        <f t="shared" ref="CV11:CV40" si="31">CU11+AZ11</f>
        <v>0.9307160784313725</v>
      </c>
      <c r="CW11" s="65">
        <f>CV11+BC11</f>
        <v>0.9307160784313725</v>
      </c>
      <c r="CX11" s="64">
        <f>CV11+BD11</f>
        <v>0.9307160784313725</v>
      </c>
      <c r="CY11" s="65">
        <f>CX11+BC11+BG11</f>
        <v>0.9307160784313725</v>
      </c>
      <c r="CZ11" s="64">
        <f>CX11+BH11</f>
        <v>0.9307160784313725</v>
      </c>
      <c r="DA11" s="65">
        <f>CZ11+BC11+BG11+BK11</f>
        <v>0.9307160784313725</v>
      </c>
      <c r="DB11" s="64">
        <f>CZ11+BL11</f>
        <v>0.9307160784313725</v>
      </c>
      <c r="DC11" s="65">
        <f>DB11+BC11+BG11+BK11+BO11</f>
        <v>0.9307160784313725</v>
      </c>
      <c r="DD11" s="64">
        <f>DB11+BP11</f>
        <v>0.9307160784313725</v>
      </c>
      <c r="DE11" s="65">
        <f>DD11+BC11+BG11+BK11+BO11+BS11</f>
        <v>0.9307160784313725</v>
      </c>
      <c r="DF11" s="64">
        <f>DD11+BT11</f>
        <v>0.9307160784313725</v>
      </c>
      <c r="DG11" s="65">
        <f>DF11+BC11+BG11+BK11+BO11+BS11+BW11</f>
        <v>0.9307160784313725</v>
      </c>
      <c r="DL11">
        <v>2021</v>
      </c>
      <c r="DM11" s="64">
        <f>DG11</f>
        <v>0.9307160784313725</v>
      </c>
      <c r="DN11" s="64">
        <f>DE11</f>
        <v>0.9307160784313725</v>
      </c>
      <c r="DO11" s="64">
        <f>DC11</f>
        <v>0.9307160784313725</v>
      </c>
      <c r="DP11" s="64">
        <f>DA11</f>
        <v>0.9307160784313725</v>
      </c>
      <c r="DQ11" s="64">
        <f>CY11</f>
        <v>0.9307160784313725</v>
      </c>
      <c r="DR11" s="64">
        <f>CW11</f>
        <v>0.9307160784313725</v>
      </c>
      <c r="DS11" s="64">
        <f t="shared" ref="DS11:DS40" si="32">CU11</f>
        <v>0.9307160784313725</v>
      </c>
      <c r="DT11" s="64">
        <f t="shared" ref="DT11:DT40" si="33">CT11</f>
        <v>0.93570666666666658</v>
      </c>
      <c r="DU11" s="64">
        <f t="shared" ref="DU11:DU40" si="34">CS11</f>
        <v>0.94388184914841844</v>
      </c>
      <c r="DV11" s="64">
        <f t="shared" ref="DV11:DV40" si="35">CR11</f>
        <v>0.94736116788321167</v>
      </c>
      <c r="DW11" s="64">
        <f t="shared" ref="DW11:DW40" si="36">CQ11</f>
        <v>0.94903999999999999</v>
      </c>
      <c r="DX11" s="64">
        <f t="shared" ref="DX11:DX40" si="37">CP11</f>
        <v>0.94903999999999999</v>
      </c>
      <c r="DY11" s="64">
        <f t="shared" ref="DY11:DY40" si="38">CO11</f>
        <v>0.94903999999999999</v>
      </c>
      <c r="DZ11" s="64">
        <f t="shared" ref="DZ11:DZ40" si="39">CN11</f>
        <v>0.94903999999999999</v>
      </c>
      <c r="EA11" s="3">
        <f>1+$A$3</f>
        <v>0.95</v>
      </c>
      <c r="EB11">
        <v>2021</v>
      </c>
      <c r="EC11" s="269">
        <f>1-SUM(ED11:ER11)</f>
        <v>0.9307160784313725</v>
      </c>
      <c r="ED11" s="269">
        <f>-$A$3</f>
        <v>0.05</v>
      </c>
      <c r="EE11" s="64">
        <f t="shared" ref="EE11:ER11" si="40">(DN11-DM11)</f>
        <v>0</v>
      </c>
      <c r="EF11" s="64">
        <f t="shared" si="40"/>
        <v>0</v>
      </c>
      <c r="EG11" s="64">
        <f t="shared" si="40"/>
        <v>0</v>
      </c>
      <c r="EH11" s="64">
        <f t="shared" si="40"/>
        <v>0</v>
      </c>
      <c r="EI11" s="64">
        <f t="shared" si="40"/>
        <v>0</v>
      </c>
      <c r="EJ11" s="64">
        <f t="shared" si="40"/>
        <v>0</v>
      </c>
      <c r="EK11" s="64">
        <f t="shared" si="40"/>
        <v>4.99058823529408E-3</v>
      </c>
      <c r="EL11" s="64">
        <f t="shared" si="40"/>
        <v>8.1751824817518637E-3</v>
      </c>
      <c r="EM11" s="64">
        <f t="shared" si="40"/>
        <v>3.4793187347932353E-3</v>
      </c>
      <c r="EN11" s="64">
        <f t="shared" si="40"/>
        <v>1.6788321167883202E-3</v>
      </c>
      <c r="EO11" s="64">
        <f t="shared" si="40"/>
        <v>0</v>
      </c>
      <c r="EP11" s="64">
        <f t="shared" si="40"/>
        <v>0</v>
      </c>
      <c r="EQ11" s="64">
        <f t="shared" si="40"/>
        <v>0</v>
      </c>
      <c r="ER11" s="64">
        <f t="shared" si="40"/>
        <v>9.5999999999996088E-4</v>
      </c>
      <c r="ES11" s="3"/>
      <c r="EX11" s="89">
        <v>2021</v>
      </c>
      <c r="EY11" s="278">
        <f>EY$7+$A$3+((EX11-2020)*($A$6/30))</f>
        <v>0.95333333333333325</v>
      </c>
      <c r="EZ11" s="278"/>
      <c r="FA11" s="278">
        <f>1-SUM(FC11:FK11)+(EY11-1)</f>
        <v>0.93404941176470579</v>
      </c>
      <c r="FB11" s="278">
        <f t="shared" ref="FB11:FB40" si="41">-$A$3</f>
        <v>0.05</v>
      </c>
      <c r="FC11" s="64">
        <f t="shared" ref="FC11:FC39" si="42">-($BC11+$BG11+$BK11+$BO11+$BS11+$BW11)</f>
        <v>0</v>
      </c>
      <c r="FD11" s="64">
        <f>-($AY11+$AZ11+$BD11+$BH11+$BL11+$BP11+$BT11)</f>
        <v>4.9905882352941156E-3</v>
      </c>
      <c r="FE11" s="64">
        <f>$EL11</f>
        <v>8.1751824817518637E-3</v>
      </c>
      <c r="FF11" s="64">
        <f>$EM11</f>
        <v>3.4793187347932353E-3</v>
      </c>
      <c r="FG11" s="64">
        <f>$EN11</f>
        <v>1.6788321167883202E-3</v>
      </c>
      <c r="FH11" s="64">
        <f>$EO11</f>
        <v>0</v>
      </c>
      <c r="FI11" s="64">
        <f>$EP11</f>
        <v>0</v>
      </c>
      <c r="FJ11" s="64">
        <f>$EQ11</f>
        <v>0</v>
      </c>
      <c r="FK11" s="280">
        <f>$ER11</f>
        <v>9.5999999999996088E-4</v>
      </c>
      <c r="FL11" s="64"/>
      <c r="FM11" s="89">
        <v>2021</v>
      </c>
      <c r="FN11" s="278">
        <f>FN$7+$A$3+((FM11-2020)*($A$6/30))</f>
        <v>0.95333333333333325</v>
      </c>
      <c r="FP11" s="278">
        <f>1-SUM(FR11:FZ11)+(FN11-1)</f>
        <v>0.93404941176470579</v>
      </c>
      <c r="FQ11" s="278">
        <f>-$A$3</f>
        <v>0.05</v>
      </c>
      <c r="FR11" s="64">
        <f>-($BC11+$BG11+$BK11+$BO11+$BS11)</f>
        <v>0</v>
      </c>
      <c r="FS11" s="64">
        <f>-($AY11+$AZ11+$BD11+$BH11+$BL11+$BP11)</f>
        <v>4.9905882352941156E-3</v>
      </c>
      <c r="FT11" s="64">
        <f>$EL11</f>
        <v>8.1751824817518637E-3</v>
      </c>
      <c r="FU11" s="64">
        <f>$EM11</f>
        <v>3.4793187347932353E-3</v>
      </c>
      <c r="FV11" s="64">
        <f>$EN11</f>
        <v>1.6788321167883202E-3</v>
      </c>
      <c r="FW11" s="64">
        <f>$EO11</f>
        <v>0</v>
      </c>
      <c r="FX11" s="64">
        <f>$EP11</f>
        <v>0</v>
      </c>
      <c r="FY11" s="64">
        <f>$EQ11</f>
        <v>0</v>
      </c>
      <c r="FZ11" s="280">
        <f>$ER11</f>
        <v>9.5999999999996088E-4</v>
      </c>
      <c r="GA11" s="64"/>
      <c r="GB11" s="89">
        <v>2021</v>
      </c>
      <c r="GC11" s="278">
        <f>GC$7+$A$3+((GB11-2020)*($A$6/30))</f>
        <v>0.95333333333333325</v>
      </c>
      <c r="GE11" s="278">
        <f>1-SUM(GG11:GO11)+(GC11-1)</f>
        <v>0.93404941176470579</v>
      </c>
      <c r="GF11" s="278">
        <f>-$A$3</f>
        <v>0.05</v>
      </c>
      <c r="GG11" s="64">
        <f>-($BC11+$BG11+$BK11+$BO11)</f>
        <v>0</v>
      </c>
      <c r="GH11" s="64">
        <f>-($AY11+$AZ11+$BD11+$BH11+$BL11)</f>
        <v>4.9905882352941156E-3</v>
      </c>
      <c r="GI11" s="64">
        <f>$EL11</f>
        <v>8.1751824817518637E-3</v>
      </c>
      <c r="GJ11" s="64">
        <f>$EM11</f>
        <v>3.4793187347932353E-3</v>
      </c>
      <c r="GK11" s="64">
        <f>$EN11</f>
        <v>1.6788321167883202E-3</v>
      </c>
      <c r="GL11" s="64">
        <f>$EO11</f>
        <v>0</v>
      </c>
      <c r="GM11" s="64">
        <f>$EP11</f>
        <v>0</v>
      </c>
      <c r="GN11" s="64">
        <f>$EQ11</f>
        <v>0</v>
      </c>
      <c r="GO11" s="280">
        <f>$ER11</f>
        <v>9.5999999999996088E-4</v>
      </c>
      <c r="GP11" s="64"/>
      <c r="GQ11" s="89">
        <v>2021</v>
      </c>
      <c r="GR11" s="278">
        <f>GR$7+$A$3+((GQ11-2020)*($A$6/30))</f>
        <v>0.95333333333333325</v>
      </c>
      <c r="GT11" s="278">
        <f>1-SUM(GV11:HD11)+(GR11-1)</f>
        <v>0.93404941176470579</v>
      </c>
      <c r="GU11" s="278">
        <f>-$A$3</f>
        <v>0.05</v>
      </c>
      <c r="GV11" s="64">
        <f>-($BC11+$BG11+$BK11)</f>
        <v>0</v>
      </c>
      <c r="GW11" s="64">
        <f>-($AY11+$AZ11+$BD11+$BH11)</f>
        <v>4.9905882352941156E-3</v>
      </c>
      <c r="GX11" s="64">
        <f t="shared" ref="GX11:GX40" si="43">$EL11</f>
        <v>8.1751824817518637E-3</v>
      </c>
      <c r="GY11" s="64">
        <f t="shared" ref="GY11:GY40" si="44">$EM11</f>
        <v>3.4793187347932353E-3</v>
      </c>
      <c r="GZ11" s="64">
        <f t="shared" ref="GZ11:GZ40" si="45">$EN11</f>
        <v>1.6788321167883202E-3</v>
      </c>
      <c r="HA11" s="64">
        <f t="shared" ref="HA11:HA40" si="46">$EO11</f>
        <v>0</v>
      </c>
      <c r="HB11" s="64">
        <f t="shared" ref="HB11:HB40" si="47">$EP11</f>
        <v>0</v>
      </c>
      <c r="HC11" s="64">
        <f t="shared" ref="HC11:HC40" si="48">$EQ11</f>
        <v>0</v>
      </c>
      <c r="HD11" s="280">
        <f t="shared" ref="HD11:HD40" si="49">$ER11</f>
        <v>9.5999999999996088E-4</v>
      </c>
      <c r="HE11" s="64"/>
      <c r="HF11" s="89">
        <v>2021</v>
      </c>
      <c r="HG11" s="278">
        <f>HG$7+$A$3+((HF11-2020)*($A$6/30))</f>
        <v>0.95333333333333325</v>
      </c>
      <c r="HI11" s="278">
        <f>1-SUM(HK11:HS11)+(HG11-1)</f>
        <v>0.93404941176470579</v>
      </c>
      <c r="HJ11" s="278">
        <f>-$A$3</f>
        <v>0.05</v>
      </c>
      <c r="HK11" s="64">
        <f>-($BC11+$BG11)</f>
        <v>0</v>
      </c>
      <c r="HL11" s="64">
        <f>-($AY11+$AZ11+$BD11)</f>
        <v>4.9905882352941156E-3</v>
      </c>
      <c r="HM11" s="64">
        <f>$EL11</f>
        <v>8.1751824817518637E-3</v>
      </c>
      <c r="HN11" s="64">
        <f>$EM11</f>
        <v>3.4793187347932353E-3</v>
      </c>
      <c r="HO11" s="64">
        <f>$EN11</f>
        <v>1.6788321167883202E-3</v>
      </c>
      <c r="HP11" s="64">
        <f>$EO11</f>
        <v>0</v>
      </c>
      <c r="HQ11" s="64">
        <f>$EP11</f>
        <v>0</v>
      </c>
      <c r="HR11" s="64">
        <f>$EQ11</f>
        <v>0</v>
      </c>
      <c r="HS11" s="280">
        <f>$ER11</f>
        <v>9.5999999999996088E-4</v>
      </c>
      <c r="HT11" s="64"/>
      <c r="HU11" s="89">
        <v>2021</v>
      </c>
      <c r="HV11" s="278">
        <f>HV$7+$A$3+((HU11-2020)*($A$6/30))</f>
        <v>0.95333333333333325</v>
      </c>
      <c r="HX11" s="278">
        <f>1-SUM(HZ11:IH11)+(HV11-1)</f>
        <v>0.93404941176470579</v>
      </c>
      <c r="HY11" s="278">
        <f>-$A$3</f>
        <v>0.05</v>
      </c>
      <c r="HZ11" s="64">
        <f>-($BC11)</f>
        <v>0</v>
      </c>
      <c r="IA11" s="64">
        <f>-($AY11+$AZ11)</f>
        <v>4.9905882352941156E-3</v>
      </c>
      <c r="IB11" s="64">
        <f>$EL11</f>
        <v>8.1751824817518637E-3</v>
      </c>
      <c r="IC11" s="64">
        <f>$EM11</f>
        <v>3.4793187347932353E-3</v>
      </c>
      <c r="ID11" s="64">
        <f>$EN11</f>
        <v>1.6788321167883202E-3</v>
      </c>
      <c r="IE11" s="64">
        <f>$EO11</f>
        <v>0</v>
      </c>
      <c r="IF11" s="64">
        <f>$EP11</f>
        <v>0</v>
      </c>
      <c r="IG11" s="64">
        <f>$EQ11</f>
        <v>0</v>
      </c>
      <c r="IH11" s="280">
        <f>$ER11</f>
        <v>9.5999999999996088E-4</v>
      </c>
      <c r="II11" s="64"/>
      <c r="IJ11" s="89">
        <v>2021</v>
      </c>
      <c r="IK11" s="278">
        <f>IK$7+$A$3+((IJ11-2020)*($A$6/30))</f>
        <v>0.95333333333333325</v>
      </c>
      <c r="IM11" s="278">
        <f>1-SUM(IO11:IW11)+(IK11-1)</f>
        <v>0.93404941176470579</v>
      </c>
      <c r="IN11" s="278">
        <f>-$A$3</f>
        <v>0.05</v>
      </c>
      <c r="IO11" s="64">
        <v>0</v>
      </c>
      <c r="IP11" s="64">
        <f>-$AY11</f>
        <v>4.9905882352941156E-3</v>
      </c>
      <c r="IQ11" s="64">
        <f t="shared" ref="IQ11:IQ40" si="50">$EL11</f>
        <v>8.1751824817518637E-3</v>
      </c>
      <c r="IR11" s="64">
        <f t="shared" ref="IR11:IR40" si="51">$EM11</f>
        <v>3.4793187347932353E-3</v>
      </c>
      <c r="IS11" s="64">
        <f t="shared" ref="IS11:IS40" si="52">$EN11</f>
        <v>1.6788321167883202E-3</v>
      </c>
      <c r="IT11" s="64">
        <f t="shared" ref="IT11:IT40" si="53">$EO11</f>
        <v>0</v>
      </c>
      <c r="IU11" s="64">
        <f t="shared" ref="IU11:IU40" si="54">$EP11</f>
        <v>0</v>
      </c>
      <c r="IV11" s="64">
        <f t="shared" ref="IV11:IV40" si="55">$EQ11</f>
        <v>0</v>
      </c>
      <c r="IW11" s="280">
        <f t="shared" ref="IW11:IW40" si="56">$ER11</f>
        <v>9.5999999999996088E-4</v>
      </c>
      <c r="IX11" s="3">
        <f>JD11-JD10</f>
        <v>0.92166666666666663</v>
      </c>
      <c r="IY11">
        <f t="shared" ref="IY11:IY40" si="57">IJ11</f>
        <v>2021</v>
      </c>
      <c r="IZ11" s="3">
        <f>IM11+IZ10</f>
        <v>1.8840494117647058</v>
      </c>
      <c r="JA11" s="353">
        <f>HLOOKUP(JA$3,'Main calculations'!JG$8:JS$39,4,FALSE)</f>
        <v>1.983209907120743</v>
      </c>
      <c r="JB11" s="3">
        <f>JB10+IK11</f>
        <v>1.9033333333333333</v>
      </c>
      <c r="JC11" s="353">
        <f>JB11/JD$10</f>
        <v>2.0035087719298246</v>
      </c>
      <c r="JD11" s="368">
        <f>JD10+((JD$10-(JC10*((JD$10-0.1)/30))))</f>
        <v>1.8716666666666666</v>
      </c>
      <c r="JE11" s="369">
        <f>JD11/JD$10</f>
        <v>1.9701754385964911</v>
      </c>
      <c r="JF11" s="363">
        <f>FA11+JF10</f>
        <v>1.8840494117647058</v>
      </c>
      <c r="JG11" s="362">
        <f t="shared" ref="JG11:JG39" si="58">JF11/FA$10</f>
        <v>1.983209907120743</v>
      </c>
      <c r="JH11" s="366">
        <f t="shared" ref="JH11:JH39" si="59">FP11+JH10</f>
        <v>1.8840494117647058</v>
      </c>
      <c r="JI11" s="367">
        <f t="shared" si="9"/>
        <v>1.983209907120743</v>
      </c>
      <c r="JJ11" s="363">
        <f t="shared" ref="JJ11:JJ39" si="60">GE11+JJ10</f>
        <v>1.8840494117647058</v>
      </c>
      <c r="JK11" s="362">
        <f t="shared" ref="JK11:JK40" si="61">JJ11/GE$10</f>
        <v>1.983209907120743</v>
      </c>
      <c r="JL11" s="366">
        <f>GT11+JL10</f>
        <v>1.8840494117647058</v>
      </c>
      <c r="JM11" s="367">
        <f t="shared" ref="JM11:JM40" si="62">JL11/GT$10</f>
        <v>1.983209907120743</v>
      </c>
      <c r="JN11" s="363">
        <f>HI11+JN10</f>
        <v>1.8840494117647058</v>
      </c>
      <c r="JO11" s="362">
        <f t="shared" ref="JO11:JO40" si="63">JN11/HI$10</f>
        <v>1.983209907120743</v>
      </c>
      <c r="JP11" s="366">
        <f>HX11+JP10</f>
        <v>1.8840494117647058</v>
      </c>
      <c r="JQ11" s="367">
        <f t="shared" ref="JQ11:JQ40" si="64">JP11/HX$10</f>
        <v>1.983209907120743</v>
      </c>
      <c r="JR11" s="363">
        <f>IM11+JR10</f>
        <v>1.8840494117647058</v>
      </c>
      <c r="JS11" s="362">
        <f t="shared" ref="JS11:JS40" si="65">JR11/IM$10</f>
        <v>1.983209907120743</v>
      </c>
    </row>
    <row r="12" spans="1:279">
      <c r="A12" s="247"/>
      <c r="B12" s="247"/>
      <c r="C12" s="247"/>
      <c r="D12" s="247"/>
      <c r="E12" s="247"/>
      <c r="F12" s="247"/>
      <c r="V12" t="s">
        <v>302</v>
      </c>
      <c r="Z12" s="3">
        <f>SUM(L9:Y9)</f>
        <v>-0.88774731034589416</v>
      </c>
      <c r="AJ12" t="s">
        <v>219</v>
      </c>
      <c r="AO12" s="89">
        <v>2022</v>
      </c>
      <c r="AP12" s="170">
        <f>IF($AO12&gt;=AP$6,IF($AO12&lt;=AP$9,AP$4/(AP$9-AP$6+1)+AP11,AP$4),0)</f>
        <v>-1.92E-3</v>
      </c>
      <c r="AQ12" s="170">
        <f>IF($AO12&gt;=AQ$6,IF($AO12&lt;=AQ$9,AQ$4/(AQ$9-AQ$6+1)+AQ11,AQ$4),0)</f>
        <v>0</v>
      </c>
      <c r="AR12" s="170">
        <f>IF($AO12&gt;=AR$6,IF($AO12&lt;=AR$9,AR$4/(AR$9-AR$6+1)+AR11,AR$4),0)</f>
        <v>0</v>
      </c>
      <c r="AS12" s="170">
        <f>IF($AO12&gt;=AS$6,IF($AO12&lt;=AS$9,AS$4/(AS$9-AS$6+1)+AS11,AS$4),0)</f>
        <v>0</v>
      </c>
      <c r="AU12" s="170">
        <f>IF($AO12&gt;=AU$6,IF($AO12&lt;=AU$9,AU$4/(AU$9-AU$6+1)+AU11,AU$4),0)</f>
        <v>-3.3576642335766431E-3</v>
      </c>
      <c r="AV12" s="170">
        <f>IF($AO12&gt;=AV$6,IF($AO12&lt;=AV$9,AV$4/(AV$9-AV$6+1)+AV11,AV$4),0)</f>
        <v>-6.9586374695863743E-3</v>
      </c>
      <c r="AW12" s="170">
        <f>IF($AO12&gt;=AW$6,IF($AO12&lt;=AW$9,AW$4/(AW$9-AW$6+1)+AW11,AW$4),0)</f>
        <v>-1.6350364963503651E-2</v>
      </c>
      <c r="AY12" s="170">
        <f>IF($AO12&gt;=AY$6,IF($AO12&lt;=AY$9,AY$4/(AY$9-AY$6+1)+AY11,AY$4),0)</f>
        <v>-9.9811764705882312E-3</v>
      </c>
      <c r="AZ12" s="278">
        <f>IF($AO12&gt;=AZ$6,IF($AO12&lt;=AZ$9,(($AZ$4)/(AZ$9-AZ$6))+AZ11,AZ$4),0)</f>
        <v>0</v>
      </c>
      <c r="BA12" s="284">
        <f>IF($AO12&gt;=BA$6,IF($AO12&lt;=BA$9,(BA$4-AB$5)/(BA$9-BA$6+1)+BA11,BA$4),0)</f>
        <v>-2.1096093078260846E-2</v>
      </c>
      <c r="BB12" s="276">
        <f>IF($AO12&gt;=BB$6,IF($AO12&lt;=BB$9,BB$4/(BB$9-BB$6+1)+BB11,BB$4),0)</f>
        <v>0</v>
      </c>
      <c r="BC12" s="277">
        <f t="shared" si="10"/>
        <v>0</v>
      </c>
      <c r="BD12" s="278">
        <f>IF($AO12&gt;=BD$6,IF($AO12&lt;=BD$9,(($BD$4)/(BD$9-BD$6))+BD11,BD$4),0)</f>
        <v>0</v>
      </c>
      <c r="BE12" s="284">
        <f>IF($AO12&gt;=BE$6,IF($AO12&lt;=BE$9,(BE$4-AD$5)/(BE$9-BE$6+1)+BE11,BE$4),0)</f>
        <v>-2.1096093078260887E-2</v>
      </c>
      <c r="BF12" s="276">
        <f>IF($AO12&gt;=BF$6,IF($AO12&lt;=BF$9,BF$4/(BF$9-BF$6+1)+BF11,BF$4),0)</f>
        <v>0</v>
      </c>
      <c r="BG12" s="277">
        <f t="shared" si="11"/>
        <v>0</v>
      </c>
      <c r="BH12" s="278">
        <f>IF($AO12&gt;=BH$6,IF($AO12&lt;=BH$9,(($BH$4)/(BH$9-BH$6+1))+BH11,BH$4),0)</f>
        <v>0</v>
      </c>
      <c r="BI12" s="284">
        <f>IF($AO12&gt;=BI$6,IF($AO12&lt;=BI$9,(BI$4-AF$5)/(BI$9-BI$6+1)+BI11,BI$4),0)</f>
        <v>-4.219218615652176E-2</v>
      </c>
      <c r="BJ12" s="276">
        <f>IF($AO12&gt;=BJ$6,IF($AO12&lt;=BJ$9,BJ$4/(BJ$9-BJ$6+1)+BJ11,BJ$4),0)</f>
        <v>0</v>
      </c>
      <c r="BK12" s="277">
        <f t="shared" si="12"/>
        <v>0</v>
      </c>
      <c r="BL12" s="278">
        <f>IF($AO12&gt;=BL$6,IF($AO12&lt;=BL$9,(($BL$4)/(BL$9-BL$6+1))+BL11,BL$4),0)</f>
        <v>0</v>
      </c>
      <c r="BM12" s="284">
        <f>IF($AO12&gt;=BM$6,IF($AO12&lt;=BM$9,(BM$4-AH$5)/(BM$9-BM$6+1)+BM11,BM$4),0)</f>
        <v>-4.2192186156521719E-2</v>
      </c>
      <c r="BN12" s="276">
        <f>IF($AO12&gt;=BN$6,IF($AO12&lt;=BN$9,BN$4/(BN$9-BN$6+1)+BN11,BN$4),0)</f>
        <v>0</v>
      </c>
      <c r="BO12" s="277">
        <f t="shared" si="13"/>
        <v>0</v>
      </c>
      <c r="BP12" s="278">
        <f>IF($AO12&gt;=BP$6,IF($AO12&lt;=BP$9,(($BP$4)/(BP$9-BP$6+1))+BP11,BP$4),0)</f>
        <v>0</v>
      </c>
      <c r="BQ12" s="284">
        <f>IF($AO12&gt;=BQ$6,IF($AO12&lt;=BQ$9,(BQ$4-AJ$5)/(BQ$9-BQ$6+1)+BQ11,BQ$4),0)</f>
        <v>-4.2192186156521774E-2</v>
      </c>
      <c r="BR12" s="276">
        <f>IF($AO12&gt;=BR$6,IF($AO12&lt;=BR$9,BR$4/(BR$9-BR$6+1)+BR11,BR$4),0)</f>
        <v>0</v>
      </c>
      <c r="BS12" s="277">
        <f t="shared" si="14"/>
        <v>0</v>
      </c>
      <c r="BT12" s="278">
        <f>IF($AO12&gt;=BT$6,IF($AO12&lt;=BT$9,(($BT$4)/(BT$9-BT$6+1))+BT11,BT$4),0)</f>
        <v>0</v>
      </c>
      <c r="BU12" s="284">
        <f>IF($AO12&gt;=BU$6,IF($AO12&lt;=BU$9,(BU$4-AL$5)/(BU$9-BU$6+1)+BU11,BU$4),0)</f>
        <v>-4.2192186156521719E-2</v>
      </c>
      <c r="BV12" s="276">
        <f>IF($AO12&gt;=BV$6,IF($AO12&lt;=BV$9,BV$4/(BV$9-BV$6+1)+BV11,BV$4),0)</f>
        <v>0</v>
      </c>
      <c r="BW12" s="278">
        <f t="shared" si="15"/>
        <v>0</v>
      </c>
      <c r="BX12" s="391">
        <f t="shared" ref="BX12:BX39" si="66">IF(BX$1=0,AY12,IF(BX$1=0.1,AY12+AZ12,IF(BX$1=0.2,AY12+AZ12+BD12,IF(BX$1=0.4,AY12+AZ12+BD12+BH12,IF(BX$1=0.6,AY12+AZ12+BD12+BH12+BL12,IF(BX$1=0.8,AY12+AZ12+BD12+BH12+BL12+BP12,IF(BX$1=1,AY12+AZ12+BD12+BH12+BL12++BP12+BT12,0)))))))</f>
        <v>-9.9811764705882312E-3</v>
      </c>
      <c r="BY12" s="392">
        <f t="shared" ref="BY12:BY40" si="67">IF(BY$1=0,0,IF(BY$1=0.1,BC12,IF(BY$1=0.2,BC12+BG12,IF(BY$1=0.4,BC12+BG12+BK12,IF(BY$1=0.6,BC12+BG12+BK12+BO12,IF(BY$1=0.8,BC12+BG12+BK12+BO12+BS12,IF(BY$1=1,BC12+BG12+BK12+BO12+BS12+BW12,0)))))))</f>
        <v>0</v>
      </c>
      <c r="BZ12" s="278"/>
      <c r="CB12" s="279">
        <f t="shared" si="16"/>
        <v>-3.8567843137254899E-2</v>
      </c>
      <c r="CC12" s="64">
        <f t="shared" si="17"/>
        <v>-3.8567843137254899E-2</v>
      </c>
      <c r="CD12" s="64">
        <f t="shared" si="18"/>
        <v>-3.8567843137254899E-2</v>
      </c>
      <c r="CE12" s="64">
        <f t="shared" si="19"/>
        <v>-3.8567843137254899E-2</v>
      </c>
      <c r="CF12" s="64">
        <f t="shared" si="20"/>
        <v>-3.8567843137254899E-2</v>
      </c>
      <c r="CG12" s="64">
        <f t="shared" si="21"/>
        <v>-3.8567843137254899E-2</v>
      </c>
      <c r="CH12" s="64">
        <f t="shared" si="22"/>
        <v>-3.8567843137254899E-2</v>
      </c>
      <c r="CI12">
        <v>2022</v>
      </c>
      <c r="CJ12" s="240"/>
      <c r="CL12">
        <v>2022</v>
      </c>
      <c r="CM12" s="3">
        <f t="shared" ref="CM12:CM40" si="68">1+$A$3</f>
        <v>0.95</v>
      </c>
      <c r="CN12" s="64">
        <f t="shared" si="23"/>
        <v>0.94807999999999992</v>
      </c>
      <c r="CO12" s="64">
        <f t="shared" si="24"/>
        <v>0.94807999999999992</v>
      </c>
      <c r="CP12" s="64">
        <f t="shared" si="25"/>
        <v>0.94807999999999992</v>
      </c>
      <c r="CQ12" s="64">
        <f t="shared" si="26"/>
        <v>0.94807999999999992</v>
      </c>
      <c r="CR12" s="64">
        <f t="shared" si="27"/>
        <v>0.94472233576642328</v>
      </c>
      <c r="CS12" s="64">
        <f t="shared" si="28"/>
        <v>0.93776369829683692</v>
      </c>
      <c r="CT12" s="64">
        <f t="shared" si="29"/>
        <v>0.92141333333333331</v>
      </c>
      <c r="CU12" s="64">
        <f t="shared" si="30"/>
        <v>0.91143215686274504</v>
      </c>
      <c r="CV12" s="64">
        <f t="shared" si="31"/>
        <v>0.91143215686274504</v>
      </c>
      <c r="CW12" s="65">
        <f t="shared" ref="CW12:CW40" si="69">CV12+BC12</f>
        <v>0.91143215686274504</v>
      </c>
      <c r="CX12" s="64">
        <f t="shared" ref="CX12:CX40" si="70">CV12+BD12</f>
        <v>0.91143215686274504</v>
      </c>
      <c r="CY12" s="65">
        <f t="shared" ref="CY12:CY40" si="71">CX12+BC12+BG12</f>
        <v>0.91143215686274504</v>
      </c>
      <c r="CZ12" s="64">
        <f t="shared" ref="CZ12:CZ40" si="72">CX12+BH12</f>
        <v>0.91143215686274504</v>
      </c>
      <c r="DA12" s="65">
        <f t="shared" ref="DA12:DA40" si="73">CZ12+BC12+BG12+BK12</f>
        <v>0.91143215686274504</v>
      </c>
      <c r="DB12" s="64">
        <f t="shared" ref="DB12:DB40" si="74">CZ12+BL12</f>
        <v>0.91143215686274504</v>
      </c>
      <c r="DC12" s="65">
        <f t="shared" ref="DC12:DC40" si="75">DB12+BC12+BG12+BK12+BO12</f>
        <v>0.91143215686274504</v>
      </c>
      <c r="DD12" s="64">
        <f t="shared" ref="DD12:DD40" si="76">DB12+BP12</f>
        <v>0.91143215686274504</v>
      </c>
      <c r="DE12" s="65">
        <f t="shared" ref="DE12:DE40" si="77">DD12+BC12+BG12+BK12+BO12+BS12</f>
        <v>0.91143215686274504</v>
      </c>
      <c r="DF12" s="64">
        <f t="shared" ref="DF12:DF40" si="78">DD12+BT12</f>
        <v>0.91143215686274504</v>
      </c>
      <c r="DG12" s="65">
        <f t="shared" ref="DG12:DG40" si="79">DF12+BC12+BG12+BK12+BO12+BS12+BW12</f>
        <v>0.91143215686274504</v>
      </c>
      <c r="DL12">
        <v>2022</v>
      </c>
      <c r="DM12" s="64">
        <f t="shared" ref="DM12:DM40" si="80">DG12</f>
        <v>0.91143215686274504</v>
      </c>
      <c r="DN12" s="64">
        <f t="shared" ref="DN12:DN40" si="81">DE12</f>
        <v>0.91143215686274504</v>
      </c>
      <c r="DO12" s="64">
        <f t="shared" ref="DO12:DO40" si="82">DC12</f>
        <v>0.91143215686274504</v>
      </c>
      <c r="DP12" s="64">
        <f t="shared" ref="DP12:DP40" si="83">DA12</f>
        <v>0.91143215686274504</v>
      </c>
      <c r="DQ12" s="64">
        <f t="shared" ref="DQ12:DQ40" si="84">CY12</f>
        <v>0.91143215686274504</v>
      </c>
      <c r="DR12" s="64">
        <f t="shared" ref="DR12:DR40" si="85">CW12</f>
        <v>0.91143215686274504</v>
      </c>
      <c r="DS12" s="64">
        <f t="shared" si="32"/>
        <v>0.91143215686274504</v>
      </c>
      <c r="DT12" s="64">
        <f t="shared" si="33"/>
        <v>0.92141333333333331</v>
      </c>
      <c r="DU12" s="64">
        <f t="shared" si="34"/>
        <v>0.93776369829683692</v>
      </c>
      <c r="DV12" s="64">
        <f t="shared" si="35"/>
        <v>0.94472233576642328</v>
      </c>
      <c r="DW12" s="64">
        <f t="shared" si="36"/>
        <v>0.94807999999999992</v>
      </c>
      <c r="DX12" s="64">
        <f t="shared" si="37"/>
        <v>0.94807999999999992</v>
      </c>
      <c r="DY12" s="64">
        <f t="shared" si="38"/>
        <v>0.94807999999999992</v>
      </c>
      <c r="DZ12" s="64">
        <f t="shared" si="39"/>
        <v>0.94807999999999992</v>
      </c>
      <c r="EA12" s="3">
        <f t="shared" ref="EA12:EA40" si="86">1+$A$3</f>
        <v>0.95</v>
      </c>
      <c r="EB12">
        <v>2022</v>
      </c>
      <c r="EC12" s="269">
        <f t="shared" ref="EC12:EC40" si="87">1-SUM(ED12:ER12)</f>
        <v>0.91143215686274504</v>
      </c>
      <c r="ED12" s="269">
        <f t="shared" ref="ED12:ED40" si="88">-$A$3</f>
        <v>0.05</v>
      </c>
      <c r="EE12" s="64">
        <f t="shared" ref="EE12:EE40" si="89">(DN12-DM12)</f>
        <v>0</v>
      </c>
      <c r="EF12" s="64">
        <f t="shared" ref="EF12:EF40" si="90">(DO12-DN12)</f>
        <v>0</v>
      </c>
      <c r="EG12" s="64">
        <f t="shared" ref="EG12:EG40" si="91">(DP12-DO12)</f>
        <v>0</v>
      </c>
      <c r="EH12" s="64">
        <f t="shared" ref="EH12:EH40" si="92">(DQ12-DP12)</f>
        <v>0</v>
      </c>
      <c r="EI12" s="64">
        <f t="shared" ref="EI12:EI40" si="93">(DR12-DQ12)</f>
        <v>0</v>
      </c>
      <c r="EJ12" s="64">
        <f t="shared" ref="EJ12:EJ40" si="94">(DS12-DR12)</f>
        <v>0</v>
      </c>
      <c r="EK12" s="64">
        <f t="shared" ref="EK12:EK40" si="95">(DT12-DS12)</f>
        <v>9.9811764705882711E-3</v>
      </c>
      <c r="EL12" s="64">
        <f t="shared" ref="EL12:EL40" si="96">(DU12-DT12)</f>
        <v>1.6350364963503616E-2</v>
      </c>
      <c r="EM12" s="64">
        <f t="shared" ref="EM12:EM40" si="97">(DV12-DU12)</f>
        <v>6.9586374695863595E-3</v>
      </c>
      <c r="EN12" s="64">
        <f t="shared" ref="EN12:EN40" si="98">(DW12-DV12)</f>
        <v>3.3576642335766405E-3</v>
      </c>
      <c r="EO12" s="64">
        <f t="shared" ref="EO12:EO40" si="99">(DX12-DW12)</f>
        <v>0</v>
      </c>
      <c r="EP12" s="64">
        <f t="shared" ref="EP12:EP40" si="100">(DY12-DX12)</f>
        <v>0</v>
      </c>
      <c r="EQ12" s="64">
        <f t="shared" ref="EQ12:EQ40" si="101">(DZ12-DY12)</f>
        <v>0</v>
      </c>
      <c r="ER12" s="64">
        <f t="shared" ref="ER12:ER40" si="102">(EA12-DZ12)</f>
        <v>1.9200000000000328E-3</v>
      </c>
      <c r="EX12" s="89">
        <v>2022</v>
      </c>
      <c r="EY12" s="278">
        <f t="shared" ref="EY12:EY40" si="103">EY$7+$A$3+((EX12-2020)*($A$6/30))</f>
        <v>0.95666666666666667</v>
      </c>
      <c r="EZ12" s="278"/>
      <c r="FA12" s="278">
        <f t="shared" ref="FA12:FA40" si="104">1-SUM(FC12:FK12)+(EY12-1)</f>
        <v>0.91809882352941174</v>
      </c>
      <c r="FB12" s="278">
        <f t="shared" si="41"/>
        <v>0.05</v>
      </c>
      <c r="FC12" s="64">
        <f t="shared" si="42"/>
        <v>0</v>
      </c>
      <c r="FD12" s="64">
        <f t="shared" ref="FD12:FD40" si="105">-($AY12+$AZ12+$BD12+$BH12+$BL12+$BP12+$BT12)</f>
        <v>9.9811764705882312E-3</v>
      </c>
      <c r="FE12" s="64">
        <f t="shared" ref="FE12:FE40" si="106">$EL12</f>
        <v>1.6350364963503616E-2</v>
      </c>
      <c r="FF12" s="64">
        <f t="shared" ref="FF12:FF40" si="107">$EM12</f>
        <v>6.9586374695863595E-3</v>
      </c>
      <c r="FG12" s="64">
        <f t="shared" ref="FG12:FG40" si="108">$EN12</f>
        <v>3.3576642335766405E-3</v>
      </c>
      <c r="FH12" s="64">
        <f t="shared" ref="FH12:FH40" si="109">$EO12</f>
        <v>0</v>
      </c>
      <c r="FI12" s="64">
        <f t="shared" ref="FI12:FI40" si="110">$EP12</f>
        <v>0</v>
      </c>
      <c r="FJ12" s="64">
        <f t="shared" ref="FJ12:FJ40" si="111">$EQ12</f>
        <v>0</v>
      </c>
      <c r="FK12" s="280">
        <f t="shared" ref="FK12:FK40" si="112">$ER12</f>
        <v>1.9200000000000328E-3</v>
      </c>
      <c r="FL12" s="64"/>
      <c r="FM12" s="89">
        <v>2022</v>
      </c>
      <c r="FN12" s="278">
        <f t="shared" ref="FN12:FN40" si="113">FN$7+$A$3+((FM12-2020)*($A$6/30))</f>
        <v>0.95666666666666667</v>
      </c>
      <c r="FP12" s="278">
        <f t="shared" ref="FP12:FP40" si="114">1-SUM(FR12:FZ12)+(FN12-1)</f>
        <v>0.91809882352941174</v>
      </c>
      <c r="FQ12" s="278">
        <f t="shared" ref="FQ12:FQ40" si="115">-$A$3</f>
        <v>0.05</v>
      </c>
      <c r="FR12" s="64">
        <f t="shared" ref="FR12:FR40" si="116">-($BC12+$BG12+$BK12+$BO12+$BS12)</f>
        <v>0</v>
      </c>
      <c r="FS12" s="64">
        <f t="shared" ref="FS12:FS40" si="117">-($AY12+$AZ12+$BD12+$BH12+$BL12+$BP12)</f>
        <v>9.9811764705882312E-3</v>
      </c>
      <c r="FT12" s="64">
        <f t="shared" ref="FT12:FT40" si="118">$EL12</f>
        <v>1.6350364963503616E-2</v>
      </c>
      <c r="FU12" s="64">
        <f t="shared" ref="FU12:FU40" si="119">$EM12</f>
        <v>6.9586374695863595E-3</v>
      </c>
      <c r="FV12" s="64">
        <f t="shared" ref="FV12:FV40" si="120">$EN12</f>
        <v>3.3576642335766405E-3</v>
      </c>
      <c r="FW12" s="64">
        <f t="shared" ref="FW12:FW40" si="121">$EO12</f>
        <v>0</v>
      </c>
      <c r="FX12" s="64">
        <f t="shared" ref="FX12:FX40" si="122">$EP12</f>
        <v>0</v>
      </c>
      <c r="FY12" s="64">
        <f t="shared" ref="FY12:FY40" si="123">$EQ12</f>
        <v>0</v>
      </c>
      <c r="FZ12" s="280">
        <f t="shared" ref="FZ12:FZ40" si="124">$ER12</f>
        <v>1.9200000000000328E-3</v>
      </c>
      <c r="GA12" s="64"/>
      <c r="GB12" s="89">
        <v>2022</v>
      </c>
      <c r="GC12" s="278">
        <f t="shared" ref="GC12:GC40" si="125">GC$7+$A$3+((GB12-2020)*($A$6/30))</f>
        <v>0.95666666666666667</v>
      </c>
      <c r="GE12" s="278">
        <f t="shared" ref="GE12:GE40" si="126">1-SUM(GG12:GO12)+(GC12-1)</f>
        <v>0.91809882352941174</v>
      </c>
      <c r="GF12" s="278">
        <f t="shared" ref="GF12:GF40" si="127">-$A$3</f>
        <v>0.05</v>
      </c>
      <c r="GG12" s="64">
        <f t="shared" ref="GG12:GG40" si="128">-($BC12+$BG12+$BK12+$BO12)</f>
        <v>0</v>
      </c>
      <c r="GH12" s="64">
        <f t="shared" ref="GH12:GH40" si="129">-($AY12+$AZ12+$BD12+$BH12+$BL12)</f>
        <v>9.9811764705882312E-3</v>
      </c>
      <c r="GI12" s="64">
        <f t="shared" ref="GI12:GI40" si="130">$EL12</f>
        <v>1.6350364963503616E-2</v>
      </c>
      <c r="GJ12" s="64">
        <f t="shared" ref="GJ12:GJ40" si="131">$EM12</f>
        <v>6.9586374695863595E-3</v>
      </c>
      <c r="GK12" s="64">
        <f t="shared" ref="GK12:GK40" si="132">$EN12</f>
        <v>3.3576642335766405E-3</v>
      </c>
      <c r="GL12" s="64">
        <f t="shared" ref="GL12:GL40" si="133">$EO12</f>
        <v>0</v>
      </c>
      <c r="GM12" s="64">
        <f t="shared" ref="GM12:GM40" si="134">$EP12</f>
        <v>0</v>
      </c>
      <c r="GN12" s="64">
        <f t="shared" ref="GN12:GN40" si="135">$EQ12</f>
        <v>0</v>
      </c>
      <c r="GO12" s="280">
        <f t="shared" ref="GO12:GO40" si="136">$ER12</f>
        <v>1.9200000000000328E-3</v>
      </c>
      <c r="GP12" s="64"/>
      <c r="GQ12" s="89">
        <v>2022</v>
      </c>
      <c r="GR12" s="278">
        <f t="shared" ref="GR12:GR40" si="137">GR$7+$A$3+((GQ12-2020)*($A$6/30))</f>
        <v>0.95666666666666667</v>
      </c>
      <c r="GT12" s="278">
        <f t="shared" ref="GT12:GT40" si="138">1-SUM(GV12:HD12)+(GR12-1)</f>
        <v>0.91809882352941174</v>
      </c>
      <c r="GU12" s="278">
        <f t="shared" ref="GU12:GU40" si="139">-$A$3</f>
        <v>0.05</v>
      </c>
      <c r="GV12" s="64">
        <f t="shared" ref="GV12:GV40" si="140">-($BC12+$BG12+$BK12)</f>
        <v>0</v>
      </c>
      <c r="GW12" s="64">
        <f t="shared" ref="GW12:GW40" si="141">-($AY12+$AZ12+$BD12+$BH12)</f>
        <v>9.9811764705882312E-3</v>
      </c>
      <c r="GX12" s="64">
        <f t="shared" si="43"/>
        <v>1.6350364963503616E-2</v>
      </c>
      <c r="GY12" s="64">
        <f t="shared" si="44"/>
        <v>6.9586374695863595E-3</v>
      </c>
      <c r="GZ12" s="64">
        <f t="shared" si="45"/>
        <v>3.3576642335766405E-3</v>
      </c>
      <c r="HA12" s="64">
        <f t="shared" si="46"/>
        <v>0</v>
      </c>
      <c r="HB12" s="64">
        <f t="shared" si="47"/>
        <v>0</v>
      </c>
      <c r="HC12" s="64">
        <f t="shared" si="48"/>
        <v>0</v>
      </c>
      <c r="HD12" s="280">
        <f t="shared" si="49"/>
        <v>1.9200000000000328E-3</v>
      </c>
      <c r="HE12" s="64"/>
      <c r="HF12" s="89">
        <v>2022</v>
      </c>
      <c r="HG12" s="278">
        <f t="shared" ref="HG12:HG40" si="142">HG$7+$A$3+((HF12-2020)*($A$6/30))</f>
        <v>0.95666666666666667</v>
      </c>
      <c r="HI12" s="278">
        <f t="shared" ref="HI12:HI40" si="143">1-SUM(HK12:HS12)+(HG12-1)</f>
        <v>0.91809882352941174</v>
      </c>
      <c r="HJ12" s="278">
        <f t="shared" ref="HJ12:HJ40" si="144">-$A$3</f>
        <v>0.05</v>
      </c>
      <c r="HK12" s="64">
        <f t="shared" ref="HK12:HK40" si="145">-($BC12+$BG12)</f>
        <v>0</v>
      </c>
      <c r="HL12" s="64">
        <f t="shared" ref="HL12:HL40" si="146">-($AY12+$AZ12+$BD12)</f>
        <v>9.9811764705882312E-3</v>
      </c>
      <c r="HM12" s="64">
        <f t="shared" ref="HM12:HM40" si="147">$EL12</f>
        <v>1.6350364963503616E-2</v>
      </c>
      <c r="HN12" s="64">
        <f t="shared" ref="HN12:HN40" si="148">$EM12</f>
        <v>6.9586374695863595E-3</v>
      </c>
      <c r="HO12" s="64">
        <f t="shared" ref="HO12:HO40" si="149">$EN12</f>
        <v>3.3576642335766405E-3</v>
      </c>
      <c r="HP12" s="64">
        <f t="shared" ref="HP12:HP40" si="150">$EO12</f>
        <v>0</v>
      </c>
      <c r="HQ12" s="64">
        <f t="shared" ref="HQ12:HQ40" si="151">$EP12</f>
        <v>0</v>
      </c>
      <c r="HR12" s="64">
        <f t="shared" ref="HR12:HR40" si="152">$EQ12</f>
        <v>0</v>
      </c>
      <c r="HS12" s="280">
        <f t="shared" ref="HS12:HS40" si="153">$ER12</f>
        <v>1.9200000000000328E-3</v>
      </c>
      <c r="HT12" s="64"/>
      <c r="HU12" s="89">
        <v>2022</v>
      </c>
      <c r="HV12" s="278">
        <f t="shared" ref="HV12:HV40" si="154">HV$7+$A$3+((HU12-2020)*($A$6/30))</f>
        <v>0.95666666666666667</v>
      </c>
      <c r="HX12" s="278">
        <f t="shared" ref="HX12:HX40" si="155">1-SUM(HZ12:IH12)+(HV12-1)</f>
        <v>0.91809882352941174</v>
      </c>
      <c r="HY12" s="278">
        <f t="shared" ref="HY12:HY40" si="156">-$A$3</f>
        <v>0.05</v>
      </c>
      <c r="HZ12" s="64">
        <f t="shared" ref="HZ12:HZ40" si="157">-($BC12)</f>
        <v>0</v>
      </c>
      <c r="IA12" s="64">
        <f t="shared" ref="IA12:IA40" si="158">-($AY12+$AZ12)</f>
        <v>9.9811764705882312E-3</v>
      </c>
      <c r="IB12" s="64">
        <f t="shared" ref="IB12:IB40" si="159">$EL12</f>
        <v>1.6350364963503616E-2</v>
      </c>
      <c r="IC12" s="64">
        <f t="shared" ref="IC12:IC40" si="160">$EM12</f>
        <v>6.9586374695863595E-3</v>
      </c>
      <c r="ID12" s="64">
        <f t="shared" ref="ID12:ID40" si="161">$EN12</f>
        <v>3.3576642335766405E-3</v>
      </c>
      <c r="IE12" s="64">
        <f t="shared" ref="IE12:IE40" si="162">$EO12</f>
        <v>0</v>
      </c>
      <c r="IF12" s="64">
        <f t="shared" ref="IF12:IF40" si="163">$EP12</f>
        <v>0</v>
      </c>
      <c r="IG12" s="64">
        <f t="shared" ref="IG12:IG40" si="164">$EQ12</f>
        <v>0</v>
      </c>
      <c r="IH12" s="280">
        <f t="shared" ref="IH12:IH40" si="165">$ER12</f>
        <v>1.9200000000000328E-3</v>
      </c>
      <c r="II12" s="64"/>
      <c r="IJ12" s="89">
        <v>2022</v>
      </c>
      <c r="IK12" s="278">
        <f t="shared" ref="IK12:IK40" si="166">IK$7+$A$3+((IJ12-2020)*($A$6/30))</f>
        <v>0.95666666666666667</v>
      </c>
      <c r="IM12" s="278">
        <f t="shared" ref="IM12:IM40" si="167">1-SUM(IO12:IW12)+(IK12-1)</f>
        <v>0.91809882352941174</v>
      </c>
      <c r="IN12" s="278">
        <f t="shared" ref="IN12:IN40" si="168">-$A$3</f>
        <v>0.05</v>
      </c>
      <c r="IO12" s="64">
        <v>0</v>
      </c>
      <c r="IP12" s="64">
        <f t="shared" ref="IP12:IP40" si="169">-$AY12</f>
        <v>9.9811764705882312E-3</v>
      </c>
      <c r="IQ12" s="64">
        <f t="shared" si="50"/>
        <v>1.6350364963503616E-2</v>
      </c>
      <c r="IR12" s="64">
        <f t="shared" si="51"/>
        <v>6.9586374695863595E-3</v>
      </c>
      <c r="IS12" s="64">
        <f t="shared" si="52"/>
        <v>3.3576642335766405E-3</v>
      </c>
      <c r="IT12" s="64">
        <f t="shared" si="53"/>
        <v>0</v>
      </c>
      <c r="IU12" s="64">
        <f t="shared" si="54"/>
        <v>0</v>
      </c>
      <c r="IV12" s="64">
        <f t="shared" si="55"/>
        <v>0</v>
      </c>
      <c r="IW12" s="280">
        <f t="shared" si="56"/>
        <v>1.9200000000000328E-3</v>
      </c>
      <c r="IX12" s="3">
        <f t="shared" ref="IX12:IX40" si="170">JD12-JD11</f>
        <v>0.89323391812865482</v>
      </c>
      <c r="IY12">
        <f t="shared" si="57"/>
        <v>2022</v>
      </c>
      <c r="IZ12" s="3">
        <f t="shared" ref="IZ12:IZ39" si="171">IM12+IZ11</f>
        <v>2.8021482352941174</v>
      </c>
      <c r="JA12" s="353">
        <f>HLOOKUP(JA$3,'Main calculations'!JG$8:JS$39,5,FALSE)</f>
        <v>2.9496297213622289</v>
      </c>
      <c r="JB12" s="3">
        <f t="shared" ref="JB12:JB40" si="172">JB11+IK12</f>
        <v>2.86</v>
      </c>
      <c r="JC12" s="353">
        <f t="shared" ref="JC12:JC39" si="173">JB12/JD$10</f>
        <v>3.0105263157894737</v>
      </c>
      <c r="JD12" s="368">
        <f t="shared" ref="JD12:JD39" si="174">JD11+((JD$10-(JC11*((JD$10-0.1)/30))))</f>
        <v>2.7649005847953214</v>
      </c>
      <c r="JE12" s="369">
        <f t="shared" ref="JE12:JE39" si="175">JD12/JD$10</f>
        <v>2.9104216682056014</v>
      </c>
      <c r="JF12" s="363">
        <f t="shared" ref="JF12:JF39" si="176">FA12+JF11</f>
        <v>2.8021482352941174</v>
      </c>
      <c r="JG12" s="362">
        <f t="shared" si="58"/>
        <v>2.9496297213622289</v>
      </c>
      <c r="JH12" s="366">
        <f t="shared" si="59"/>
        <v>2.8021482352941174</v>
      </c>
      <c r="JI12" s="367">
        <f t="shared" si="9"/>
        <v>2.9496297213622289</v>
      </c>
      <c r="JJ12" s="363">
        <f t="shared" si="60"/>
        <v>2.8021482352941174</v>
      </c>
      <c r="JK12" s="362">
        <f t="shared" si="61"/>
        <v>2.9496297213622289</v>
      </c>
      <c r="JL12" s="366">
        <f t="shared" ref="JL12:JL39" si="177">GT12+JL11</f>
        <v>2.8021482352941174</v>
      </c>
      <c r="JM12" s="367">
        <f t="shared" si="62"/>
        <v>2.9496297213622289</v>
      </c>
      <c r="JN12" s="363">
        <f t="shared" ref="JN12:JN39" si="178">HI12+JN11</f>
        <v>2.8021482352941174</v>
      </c>
      <c r="JO12" s="362">
        <f t="shared" si="63"/>
        <v>2.9496297213622289</v>
      </c>
      <c r="JP12" s="366">
        <f t="shared" ref="JP12:JP39" si="179">HX12+JP11</f>
        <v>2.8021482352941174</v>
      </c>
      <c r="JQ12" s="367">
        <f t="shared" si="64"/>
        <v>2.9496297213622289</v>
      </c>
      <c r="JR12" s="363">
        <f t="shared" ref="JR12:JR39" si="180">IM12+JR11</f>
        <v>2.8021482352941174</v>
      </c>
      <c r="JS12" s="362">
        <f t="shared" si="65"/>
        <v>2.9496297213622289</v>
      </c>
    </row>
    <row r="13" spans="1:279">
      <c r="A13" s="259"/>
      <c r="B13" s="247"/>
      <c r="C13" s="247"/>
      <c r="D13" s="247"/>
      <c r="E13" s="247"/>
      <c r="F13" s="247"/>
      <c r="AJ13" s="238" t="s">
        <v>220</v>
      </c>
      <c r="AL13">
        <v>2</v>
      </c>
      <c r="AO13" s="89">
        <v>2023</v>
      </c>
      <c r="AP13" s="170">
        <f t="shared" ref="AP13:AP40" si="181">IF($AO13&gt;=AP$6,IF($AO13&lt;=AP$9,AP$4/(AP$9-AP$6+1)+AP12,AP$4),0)</f>
        <v>-2.8800000000000002E-3</v>
      </c>
      <c r="AQ13" s="170">
        <f t="shared" ref="AQ13:AQ40" si="182">IF($AO13&gt;=AQ$6,IF($AO13&lt;=AQ$9,AQ$4/(AQ$9-AQ$6+1)+AQ12,AQ$4),0)</f>
        <v>-2.5000000000000006E-4</v>
      </c>
      <c r="AR13" s="170">
        <f t="shared" ref="AR13:AR40" si="183">IF($AO13&gt;=AR$6,IF($AO13&lt;=AR$9,AR$4/(AR$9-AR$6+1)+AR12,AR$4),0)</f>
        <v>0</v>
      </c>
      <c r="AS13" s="170">
        <f t="shared" ref="AS13:AS40" si="184">IF($AO13&gt;=AS$6,IF($AO13&lt;=AS$9,AS$4/(AS$9-AS$6+1)+AS12,AS$4),0)</f>
        <v>0</v>
      </c>
      <c r="AU13" s="170">
        <f t="shared" ref="AU13:AU40" si="185">IF($AO13&gt;=AU$6,IF($AO13&lt;=AU$9,AU$4/(AU$9-AU$6+1)+AU12,AU$4),0)</f>
        <v>-5.0364963503649642E-3</v>
      </c>
      <c r="AV13" s="170">
        <f t="shared" ref="AV13:AV40" si="186">IF($AO13&gt;=AV$6,IF($AO13&lt;=AV$9,AV$4/(AV$9-AV$6+1)+AV12,AV$4),0)</f>
        <v>-1.0437956204379562E-2</v>
      </c>
      <c r="AW13" s="170">
        <f t="shared" ref="AW13:AW40" si="187">IF($AO13&gt;=AW$6,IF($AO13&lt;=AW$9,AW$4/(AW$9-AW$6+1)+AW12,AW$4),0)</f>
        <v>-2.4525547445255477E-2</v>
      </c>
      <c r="AY13" s="170">
        <f t="shared" ref="AY13:AY40" si="188">IF($AO13&gt;=AY$6,IF($AO13&lt;=AY$9,AY$4/(AY$9-AY$6+1)+AY12,AY$4),0)</f>
        <v>-1.4971764705882348E-2</v>
      </c>
      <c r="AZ13" s="278">
        <f t="shared" ref="AZ13:AZ40" si="189">IF($AO13&gt;=AZ$6,IF($AO13&lt;=AZ$9,(($AZ$4)/(AZ$9-AZ$6))+AZ12,AZ$4),0)</f>
        <v>3.1422222222222208E-4</v>
      </c>
      <c r="BA13" s="284">
        <f t="shared" ref="BA13:BA40" si="190">IF($AO13&gt;=BA$6,IF($AO13&lt;=BA$9,(BA$4-AB$5)/(BA$9-BA$6+1)+BA12,BA$4),0)</f>
        <v>-2.1728187965217367E-2</v>
      </c>
      <c r="BB13" s="276">
        <f t="shared" ref="BB13:BB40" si="191">IF($AO13&gt;=BB$6,IF($AO13&lt;=BB$9,BB$4/(BB$9-BB$6+1)+BB12,BB$4),0)</f>
        <v>-1.3855267826086949E-3</v>
      </c>
      <c r="BC13" s="277">
        <f t="shared" ref="BC13:BC40" si="192">BB13*(BA13/BA$4)</f>
        <v>-7.7600671304347733E-4</v>
      </c>
      <c r="BD13" s="278">
        <f t="shared" ref="BD13:BD40" si="193">IF($AO13&gt;=BD$6,IF($AO13&lt;=BD$9,(($BD$4)/(BD$9-BD$6))+BD12,BD$4),0)</f>
        <v>3.1422222222222208E-4</v>
      </c>
      <c r="BE13" s="284">
        <f t="shared" ref="BE13:BE40" si="194">IF($AO13&gt;=BE$6,IF($AO13&lt;=BE$9,(BE$4-AD$5)/(BE$9-BE$6+1)+BE12,BE$4),0)</f>
        <v>-2.1728187965217409E-2</v>
      </c>
      <c r="BF13" s="276">
        <f t="shared" ref="BF13:BF40" si="195">IF($AO13&gt;=BF$6,IF($AO13&lt;=BF$9,BF$4/(BF$9-BF$6+1)+BF12,BF$4),0)</f>
        <v>-1.3855267826086949E-3</v>
      </c>
      <c r="BG13" s="277">
        <f t="shared" ref="BG13:BG40" si="196">BF13*(BE13/BE$4)</f>
        <v>-7.7600671304347895E-4</v>
      </c>
      <c r="BH13" s="278">
        <f t="shared" ref="BH13:BH40" si="197">IF($AO13&gt;=BH$6,IF($AO13&lt;=BH$9,(($BH$4)/(BH$9-BH$6+1))+BH12,BH$4),0)</f>
        <v>6.0599999999999977E-4</v>
      </c>
      <c r="BI13" s="284">
        <f t="shared" ref="BI13:BI40" si="198">IF($AO13&gt;=BI$6,IF($AO13&lt;=BI$9,(BI$4-AF$5)/(BI$9-BI$6+1)+BI12,BI$4),0)</f>
        <v>-4.3456375930434804E-2</v>
      </c>
      <c r="BJ13" s="276">
        <f t="shared" ref="BJ13:BJ40" si="199">IF($AO13&gt;=BJ$6,IF($AO13&lt;=BJ$9,BJ$4/(BJ$9-BJ$6+1)+BJ12,BJ$4),0)</f>
        <v>-2.7710535652173936E-3</v>
      </c>
      <c r="BK13" s="277">
        <f t="shared" ref="BK13:BK40" si="200">BJ13*(BI13/BI$4)</f>
        <v>-1.5520134260869573E-3</v>
      </c>
      <c r="BL13" s="278">
        <f t="shared" ref="BL13:BL40" si="201">IF($AO13&gt;=BL$6,IF($AO13&lt;=BL$9,(($BL$4)/(BL$9-BL$6+1))+BL12,BL$4),0)</f>
        <v>6.0599999999999977E-4</v>
      </c>
      <c r="BM13" s="284">
        <f t="shared" ref="BM13:BM40" si="202">IF($AO13&gt;=BM$6,IF($AO13&lt;=BM$9,(BM$4-AH$5)/(BM$9-BM$6+1)+BM12,BM$4),0)</f>
        <v>-4.3456375930434762E-2</v>
      </c>
      <c r="BN13" s="276">
        <f t="shared" ref="BN13:BN40" si="203">IF($AO13&gt;=BN$6,IF($AO13&lt;=BN$9,BN$4/(BN$9-BN$6+1)+BN12,BN$4),0)</f>
        <v>-2.7710535652173888E-3</v>
      </c>
      <c r="BO13" s="277">
        <f t="shared" ref="BO13:BO40" si="204">BN13*(BM13/BM$4)</f>
        <v>-1.5520134260869557E-3</v>
      </c>
      <c r="BP13" s="278">
        <f t="shared" ref="BP13:BP40" si="205">IF($AO13&gt;=BP$6,IF($AO13&lt;=BP$9,(($BP$4)/(BP$9-BP$6+1))+BP12,BP$4),0)</f>
        <v>6.0599999999999977E-4</v>
      </c>
      <c r="BQ13" s="284">
        <f t="shared" ref="BQ13:BQ40" si="206">IF($AO13&gt;=BQ$6,IF($AO13&lt;=BQ$9,(BQ$4-AJ$5)/(BQ$9-BQ$6+1)+BQ12,BQ$4),0)</f>
        <v>-4.3456375930434818E-2</v>
      </c>
      <c r="BR13" s="276">
        <f t="shared" ref="BR13:BR40" si="207">IF($AO13&gt;=BR$6,IF($AO13&lt;=BR$9,BR$4/(BR$9-BR$6+1)+BR12,BR$4),0)</f>
        <v>-2.7710535652173927E-3</v>
      </c>
      <c r="BS13" s="277">
        <f t="shared" ref="BS13:BS40" si="208">BR13*(BQ13/BQ$4)</f>
        <v>-1.5520134260869577E-3</v>
      </c>
      <c r="BT13" s="278">
        <f t="shared" ref="BT13:BT40" si="209">IF($AO13&gt;=BT$6,IF($AO13&lt;=BT$9,(($BT$4)/(BT$9-BT$6+1))+BT12,BT$4),0)</f>
        <v>6.0599999999999977E-4</v>
      </c>
      <c r="BU13" s="284">
        <f t="shared" ref="BU13:BU40" si="210">IF($AO13&gt;=BU$6,IF($AO13&lt;=BU$9,(BU$4-AL$5)/(BU$9-BU$6+1)+BU12,BU$4),0)</f>
        <v>-4.3456375930434762E-2</v>
      </c>
      <c r="BV13" s="276">
        <f t="shared" ref="BV13:BV40" si="211">IF($AO13&gt;=BV$6,IF($AO13&lt;=BV$9,BV$4/(BV$9-BV$6+1)+BV12,BV$4),0)</f>
        <v>-2.7710535652173906E-3</v>
      </c>
      <c r="BW13" s="278">
        <f t="shared" ref="BW13:BW40" si="212">BV13*(BU13/BU$4)</f>
        <v>-1.5520134260869557E-3</v>
      </c>
      <c r="BX13" s="391">
        <f t="shared" si="66"/>
        <v>-1.2525320261437906E-2</v>
      </c>
      <c r="BY13" s="392">
        <f t="shared" si="67"/>
        <v>-6.2080537043478273E-3</v>
      </c>
      <c r="BZ13" s="278"/>
      <c r="CB13" s="279">
        <f t="shared" si="16"/>
        <v>-5.8101764705882353E-2</v>
      </c>
      <c r="CC13" s="64">
        <f t="shared" si="17"/>
        <v>-5.8563549196703604E-2</v>
      </c>
      <c r="CD13" s="64">
        <f t="shared" si="18"/>
        <v>-5.9025333687524863E-2</v>
      </c>
      <c r="CE13" s="64">
        <f t="shared" si="19"/>
        <v>-5.9971347113611816E-2</v>
      </c>
      <c r="CF13" s="64">
        <f t="shared" si="20"/>
        <v>-6.0917360539698769E-2</v>
      </c>
      <c r="CG13" s="64">
        <f t="shared" si="21"/>
        <v>-6.1863373965785722E-2</v>
      </c>
      <c r="CH13" s="64">
        <f t="shared" si="22"/>
        <v>-6.2809387391872681E-2</v>
      </c>
      <c r="CI13">
        <v>2023</v>
      </c>
      <c r="CJ13" s="240"/>
      <c r="CL13">
        <v>2023</v>
      </c>
      <c r="CM13" s="3">
        <f t="shared" si="68"/>
        <v>0.95</v>
      </c>
      <c r="CN13" s="64">
        <f t="shared" si="23"/>
        <v>0.94711999999999996</v>
      </c>
      <c r="CO13" s="64">
        <f t="shared" si="24"/>
        <v>0.94686999999999999</v>
      </c>
      <c r="CP13" s="64">
        <f t="shared" si="25"/>
        <v>0.94686999999999999</v>
      </c>
      <c r="CQ13" s="64">
        <f t="shared" si="26"/>
        <v>0.94686999999999999</v>
      </c>
      <c r="CR13" s="64">
        <f t="shared" si="27"/>
        <v>0.94183350364963503</v>
      </c>
      <c r="CS13" s="64">
        <f t="shared" si="28"/>
        <v>0.93139554744525543</v>
      </c>
      <c r="CT13" s="64">
        <f t="shared" si="29"/>
        <v>0.90686999999999995</v>
      </c>
      <c r="CU13" s="64">
        <f t="shared" si="30"/>
        <v>0.8918982352941176</v>
      </c>
      <c r="CV13" s="64">
        <f t="shared" si="31"/>
        <v>0.89221245751633982</v>
      </c>
      <c r="CW13" s="65">
        <f t="shared" si="69"/>
        <v>0.89143645080329637</v>
      </c>
      <c r="CX13" s="64">
        <f t="shared" si="70"/>
        <v>0.89252667973856203</v>
      </c>
      <c r="CY13" s="65">
        <f t="shared" si="71"/>
        <v>0.89097466631247513</v>
      </c>
      <c r="CZ13" s="64">
        <f t="shared" si="72"/>
        <v>0.89313267973856203</v>
      </c>
      <c r="DA13" s="65">
        <f t="shared" si="73"/>
        <v>0.89002865288638822</v>
      </c>
      <c r="DB13" s="64">
        <f t="shared" si="74"/>
        <v>0.89373867973856203</v>
      </c>
      <c r="DC13" s="65">
        <f t="shared" si="75"/>
        <v>0.8890826394603013</v>
      </c>
      <c r="DD13" s="64">
        <f t="shared" si="76"/>
        <v>0.89434467973856202</v>
      </c>
      <c r="DE13" s="65">
        <f t="shared" si="77"/>
        <v>0.88813662603421439</v>
      </c>
      <c r="DF13" s="64">
        <f t="shared" si="78"/>
        <v>0.89495067973856202</v>
      </c>
      <c r="DG13" s="65">
        <f t="shared" si="79"/>
        <v>0.88719061260812748</v>
      </c>
      <c r="DL13">
        <v>2023</v>
      </c>
      <c r="DM13" s="64">
        <f t="shared" si="80"/>
        <v>0.88719061260812748</v>
      </c>
      <c r="DN13" s="64">
        <f t="shared" si="81"/>
        <v>0.88813662603421439</v>
      </c>
      <c r="DO13" s="64">
        <f t="shared" si="82"/>
        <v>0.8890826394603013</v>
      </c>
      <c r="DP13" s="64">
        <f t="shared" si="83"/>
        <v>0.89002865288638822</v>
      </c>
      <c r="DQ13" s="64">
        <f t="shared" si="84"/>
        <v>0.89097466631247513</v>
      </c>
      <c r="DR13" s="64">
        <f t="shared" si="85"/>
        <v>0.89143645080329637</v>
      </c>
      <c r="DS13" s="64">
        <f t="shared" si="32"/>
        <v>0.8918982352941176</v>
      </c>
      <c r="DT13" s="64">
        <f t="shared" si="33"/>
        <v>0.90686999999999995</v>
      </c>
      <c r="DU13" s="64">
        <f t="shared" si="34"/>
        <v>0.93139554744525543</v>
      </c>
      <c r="DV13" s="64">
        <f t="shared" si="35"/>
        <v>0.94183350364963503</v>
      </c>
      <c r="DW13" s="64">
        <f t="shared" si="36"/>
        <v>0.94686999999999999</v>
      </c>
      <c r="DX13" s="64">
        <f t="shared" si="37"/>
        <v>0.94686999999999999</v>
      </c>
      <c r="DY13" s="64">
        <f t="shared" si="38"/>
        <v>0.94686999999999999</v>
      </c>
      <c r="DZ13" s="64">
        <f t="shared" si="39"/>
        <v>0.94711999999999996</v>
      </c>
      <c r="EA13" s="3">
        <f t="shared" si="86"/>
        <v>0.95</v>
      </c>
      <c r="EB13">
        <v>2023</v>
      </c>
      <c r="EC13" s="269">
        <f t="shared" si="87"/>
        <v>0.88719061260812748</v>
      </c>
      <c r="ED13" s="269">
        <f t="shared" si="88"/>
        <v>0.05</v>
      </c>
      <c r="EE13" s="64">
        <f t="shared" si="89"/>
        <v>9.460134260869113E-4</v>
      </c>
      <c r="EF13" s="64">
        <f t="shared" si="90"/>
        <v>9.460134260869113E-4</v>
      </c>
      <c r="EG13" s="64">
        <f t="shared" si="91"/>
        <v>9.460134260869113E-4</v>
      </c>
      <c r="EH13" s="64">
        <f t="shared" si="92"/>
        <v>9.460134260869113E-4</v>
      </c>
      <c r="EI13" s="64">
        <f t="shared" si="93"/>
        <v>4.6178449082123763E-4</v>
      </c>
      <c r="EJ13" s="64">
        <f t="shared" si="94"/>
        <v>4.6178449082123763E-4</v>
      </c>
      <c r="EK13" s="64">
        <f t="shared" si="95"/>
        <v>1.4971764705882351E-2</v>
      </c>
      <c r="EL13" s="64">
        <f t="shared" si="96"/>
        <v>2.452554744525548E-2</v>
      </c>
      <c r="EM13" s="64">
        <f t="shared" si="97"/>
        <v>1.0437956204379595E-2</v>
      </c>
      <c r="EN13" s="64">
        <f t="shared" si="98"/>
        <v>5.0364963503649607E-3</v>
      </c>
      <c r="EO13" s="64">
        <f t="shared" si="99"/>
        <v>0</v>
      </c>
      <c r="EP13" s="64">
        <f t="shared" si="100"/>
        <v>0</v>
      </c>
      <c r="EQ13" s="64">
        <f t="shared" si="101"/>
        <v>2.4999999999997247E-4</v>
      </c>
      <c r="ER13" s="64">
        <f t="shared" si="102"/>
        <v>2.8799999999999937E-3</v>
      </c>
      <c r="EX13" s="89">
        <v>2023</v>
      </c>
      <c r="EY13" s="278">
        <f t="shared" si="103"/>
        <v>0.96</v>
      </c>
      <c r="EZ13" s="278"/>
      <c r="FA13" s="278">
        <f t="shared" si="104"/>
        <v>0.89719061260812727</v>
      </c>
      <c r="FB13" s="278">
        <f t="shared" si="41"/>
        <v>0.05</v>
      </c>
      <c r="FC13" s="64">
        <f t="shared" si="42"/>
        <v>7.7600671304347835E-3</v>
      </c>
      <c r="FD13" s="64">
        <f t="shared" si="105"/>
        <v>1.1919320261437907E-2</v>
      </c>
      <c r="FE13" s="64">
        <f t="shared" si="106"/>
        <v>2.452554744525548E-2</v>
      </c>
      <c r="FF13" s="64">
        <f t="shared" si="107"/>
        <v>1.0437956204379595E-2</v>
      </c>
      <c r="FG13" s="64">
        <f t="shared" si="108"/>
        <v>5.0364963503649607E-3</v>
      </c>
      <c r="FH13" s="64">
        <f t="shared" si="109"/>
        <v>0</v>
      </c>
      <c r="FI13" s="64">
        <f t="shared" si="110"/>
        <v>0</v>
      </c>
      <c r="FJ13" s="64">
        <f t="shared" si="111"/>
        <v>2.4999999999997247E-4</v>
      </c>
      <c r="FK13" s="280">
        <f t="shared" si="112"/>
        <v>2.8799999999999937E-3</v>
      </c>
      <c r="FL13" s="64"/>
      <c r="FM13" s="89">
        <v>2023</v>
      </c>
      <c r="FN13" s="278">
        <f t="shared" si="113"/>
        <v>0.96</v>
      </c>
      <c r="FP13" s="278">
        <f t="shared" si="114"/>
        <v>0.89813662603421418</v>
      </c>
      <c r="FQ13" s="278">
        <f t="shared" si="115"/>
        <v>0.05</v>
      </c>
      <c r="FR13" s="64">
        <f t="shared" si="116"/>
        <v>6.2080537043478273E-3</v>
      </c>
      <c r="FS13" s="64">
        <f t="shared" si="117"/>
        <v>1.2525320261437906E-2</v>
      </c>
      <c r="FT13" s="64">
        <f t="shared" si="118"/>
        <v>2.452554744525548E-2</v>
      </c>
      <c r="FU13" s="64">
        <f t="shared" si="119"/>
        <v>1.0437956204379595E-2</v>
      </c>
      <c r="FV13" s="64">
        <f t="shared" si="120"/>
        <v>5.0364963503649607E-3</v>
      </c>
      <c r="FW13" s="64">
        <f t="shared" si="121"/>
        <v>0</v>
      </c>
      <c r="FX13" s="64">
        <f t="shared" si="122"/>
        <v>0</v>
      </c>
      <c r="FY13" s="64">
        <f t="shared" si="123"/>
        <v>2.4999999999997247E-4</v>
      </c>
      <c r="FZ13" s="280">
        <f t="shared" si="124"/>
        <v>2.8799999999999937E-3</v>
      </c>
      <c r="GA13" s="64"/>
      <c r="GB13" s="89">
        <v>2023</v>
      </c>
      <c r="GC13" s="278">
        <f t="shared" si="125"/>
        <v>0.96</v>
      </c>
      <c r="GE13" s="278">
        <f t="shared" si="126"/>
        <v>0.8990826394603012</v>
      </c>
      <c r="GF13" s="278">
        <f t="shared" si="127"/>
        <v>0.05</v>
      </c>
      <c r="GG13" s="64">
        <f t="shared" si="128"/>
        <v>4.6560402782608694E-3</v>
      </c>
      <c r="GH13" s="64">
        <f t="shared" si="129"/>
        <v>1.3131320261437904E-2</v>
      </c>
      <c r="GI13" s="64">
        <f t="shared" si="130"/>
        <v>2.452554744525548E-2</v>
      </c>
      <c r="GJ13" s="64">
        <f t="shared" si="131"/>
        <v>1.0437956204379595E-2</v>
      </c>
      <c r="GK13" s="64">
        <f t="shared" si="132"/>
        <v>5.0364963503649607E-3</v>
      </c>
      <c r="GL13" s="64">
        <f t="shared" si="133"/>
        <v>0</v>
      </c>
      <c r="GM13" s="64">
        <f t="shared" si="134"/>
        <v>0</v>
      </c>
      <c r="GN13" s="64">
        <f t="shared" si="135"/>
        <v>2.4999999999997247E-4</v>
      </c>
      <c r="GO13" s="280">
        <f t="shared" si="136"/>
        <v>2.8799999999999937E-3</v>
      </c>
      <c r="GP13" s="64"/>
      <c r="GQ13" s="89">
        <v>2023</v>
      </c>
      <c r="GR13" s="278">
        <f t="shared" si="137"/>
        <v>0.96</v>
      </c>
      <c r="GT13" s="278">
        <f t="shared" si="138"/>
        <v>0.90002865288638811</v>
      </c>
      <c r="GU13" s="278">
        <f t="shared" si="139"/>
        <v>0.05</v>
      </c>
      <c r="GV13" s="64">
        <f t="shared" si="140"/>
        <v>3.1040268521739132E-3</v>
      </c>
      <c r="GW13" s="64">
        <f t="shared" si="141"/>
        <v>1.3737320261437903E-2</v>
      </c>
      <c r="GX13" s="64">
        <f t="shared" si="43"/>
        <v>2.452554744525548E-2</v>
      </c>
      <c r="GY13" s="64">
        <f t="shared" si="44"/>
        <v>1.0437956204379595E-2</v>
      </c>
      <c r="GZ13" s="64">
        <f t="shared" si="45"/>
        <v>5.0364963503649607E-3</v>
      </c>
      <c r="HA13" s="64">
        <f t="shared" si="46"/>
        <v>0</v>
      </c>
      <c r="HB13" s="64">
        <f t="shared" si="47"/>
        <v>0</v>
      </c>
      <c r="HC13" s="64">
        <f t="shared" si="48"/>
        <v>2.4999999999997247E-4</v>
      </c>
      <c r="HD13" s="280">
        <f t="shared" si="49"/>
        <v>2.8799999999999937E-3</v>
      </c>
      <c r="HE13" s="64"/>
      <c r="HF13" s="89">
        <v>2023</v>
      </c>
      <c r="HG13" s="278">
        <f t="shared" si="142"/>
        <v>0.96</v>
      </c>
      <c r="HI13" s="278">
        <f t="shared" si="143"/>
        <v>0.90097466631247514</v>
      </c>
      <c r="HJ13" s="278">
        <f t="shared" si="144"/>
        <v>0.05</v>
      </c>
      <c r="HK13" s="64">
        <f t="shared" si="145"/>
        <v>1.5520134260869562E-3</v>
      </c>
      <c r="HL13" s="64">
        <f t="shared" si="146"/>
        <v>1.4343320261437902E-2</v>
      </c>
      <c r="HM13" s="64">
        <f t="shared" si="147"/>
        <v>2.452554744525548E-2</v>
      </c>
      <c r="HN13" s="64">
        <f t="shared" si="148"/>
        <v>1.0437956204379595E-2</v>
      </c>
      <c r="HO13" s="64">
        <f t="shared" si="149"/>
        <v>5.0364963503649607E-3</v>
      </c>
      <c r="HP13" s="64">
        <f t="shared" si="150"/>
        <v>0</v>
      </c>
      <c r="HQ13" s="64">
        <f t="shared" si="151"/>
        <v>0</v>
      </c>
      <c r="HR13" s="64">
        <f t="shared" si="152"/>
        <v>2.4999999999997247E-4</v>
      </c>
      <c r="HS13" s="280">
        <f t="shared" si="153"/>
        <v>2.8799999999999937E-3</v>
      </c>
      <c r="HT13" s="64"/>
      <c r="HU13" s="89">
        <v>2023</v>
      </c>
      <c r="HV13" s="278">
        <f t="shared" si="154"/>
        <v>0.96</v>
      </c>
      <c r="HX13" s="278">
        <f t="shared" si="155"/>
        <v>0.90143645080329637</v>
      </c>
      <c r="HY13" s="278">
        <f t="shared" si="156"/>
        <v>0.05</v>
      </c>
      <c r="HZ13" s="64">
        <f t="shared" si="157"/>
        <v>7.7600671304347733E-4</v>
      </c>
      <c r="IA13" s="64">
        <f t="shared" si="158"/>
        <v>1.4657542483660125E-2</v>
      </c>
      <c r="IB13" s="64">
        <f t="shared" si="159"/>
        <v>2.452554744525548E-2</v>
      </c>
      <c r="IC13" s="64">
        <f t="shared" si="160"/>
        <v>1.0437956204379595E-2</v>
      </c>
      <c r="ID13" s="64">
        <f t="shared" si="161"/>
        <v>5.0364963503649607E-3</v>
      </c>
      <c r="IE13" s="64">
        <f t="shared" si="162"/>
        <v>0</v>
      </c>
      <c r="IF13" s="64">
        <f t="shared" si="163"/>
        <v>0</v>
      </c>
      <c r="IG13" s="64">
        <f t="shared" si="164"/>
        <v>2.4999999999997247E-4</v>
      </c>
      <c r="IH13" s="280">
        <f t="shared" si="165"/>
        <v>2.8799999999999937E-3</v>
      </c>
      <c r="II13" s="64"/>
      <c r="IJ13" s="89">
        <v>2023</v>
      </c>
      <c r="IK13" s="278">
        <f t="shared" si="166"/>
        <v>0.96</v>
      </c>
      <c r="IM13" s="278">
        <f t="shared" si="167"/>
        <v>0.90189823529411761</v>
      </c>
      <c r="IN13" s="278">
        <f t="shared" si="168"/>
        <v>0.05</v>
      </c>
      <c r="IO13" s="64">
        <v>0</v>
      </c>
      <c r="IP13" s="64">
        <f t="shared" si="169"/>
        <v>1.4971764705882348E-2</v>
      </c>
      <c r="IQ13" s="64">
        <f t="shared" si="50"/>
        <v>2.452554744525548E-2</v>
      </c>
      <c r="IR13" s="64">
        <f t="shared" si="51"/>
        <v>1.0437956204379595E-2</v>
      </c>
      <c r="IS13" s="64">
        <f t="shared" si="52"/>
        <v>5.0364963503649607E-3</v>
      </c>
      <c r="IT13" s="64">
        <f t="shared" si="53"/>
        <v>0</v>
      </c>
      <c r="IU13" s="64">
        <f t="shared" si="54"/>
        <v>0</v>
      </c>
      <c r="IV13" s="64">
        <f t="shared" si="55"/>
        <v>2.4999999999997247E-4</v>
      </c>
      <c r="IW13" s="280">
        <f t="shared" si="56"/>
        <v>2.8799999999999937E-3</v>
      </c>
      <c r="IX13" s="3">
        <f t="shared" si="170"/>
        <v>0.86470175438596497</v>
      </c>
      <c r="IY13">
        <f t="shared" si="57"/>
        <v>2023</v>
      </c>
      <c r="IZ13" s="3">
        <f t="shared" si="171"/>
        <v>3.704046470588235</v>
      </c>
      <c r="JA13" s="353">
        <f>HLOOKUP(JA$3,'Main calculations'!JG$8:JS$39,6,FALSE)</f>
        <v>3.8950366961350862</v>
      </c>
      <c r="JB13" s="3">
        <f t="shared" si="172"/>
        <v>3.82</v>
      </c>
      <c r="JC13" s="353">
        <f t="shared" si="173"/>
        <v>4.0210526315789474</v>
      </c>
      <c r="JD13" s="368">
        <f t="shared" si="174"/>
        <v>3.6296023391812864</v>
      </c>
      <c r="JE13" s="369">
        <f t="shared" si="175"/>
        <v>3.8206340412434594</v>
      </c>
      <c r="JF13" s="363">
        <f t="shared" si="176"/>
        <v>3.6993388479022444</v>
      </c>
      <c r="JG13" s="362">
        <f t="shared" si="58"/>
        <v>3.8940408925286785</v>
      </c>
      <c r="JH13" s="366">
        <f t="shared" si="59"/>
        <v>3.7002848613283317</v>
      </c>
      <c r="JI13" s="367">
        <f t="shared" si="9"/>
        <v>3.8950366961350862</v>
      </c>
      <c r="JJ13" s="363">
        <f t="shared" si="60"/>
        <v>3.7012308747544185</v>
      </c>
      <c r="JK13" s="362">
        <f t="shared" si="61"/>
        <v>3.8960324997414935</v>
      </c>
      <c r="JL13" s="366">
        <f t="shared" si="177"/>
        <v>3.7021768881805057</v>
      </c>
      <c r="JM13" s="367">
        <f t="shared" si="62"/>
        <v>3.8970283033479007</v>
      </c>
      <c r="JN13" s="363">
        <f t="shared" si="178"/>
        <v>3.7031229016065925</v>
      </c>
      <c r="JO13" s="362">
        <f t="shared" si="63"/>
        <v>3.898024106954308</v>
      </c>
      <c r="JP13" s="366">
        <f t="shared" si="179"/>
        <v>3.7035846860974138</v>
      </c>
      <c r="JQ13" s="367">
        <f t="shared" si="64"/>
        <v>3.8985101958920145</v>
      </c>
      <c r="JR13" s="363">
        <f t="shared" si="180"/>
        <v>3.704046470588235</v>
      </c>
      <c r="JS13" s="362">
        <f t="shared" si="65"/>
        <v>3.898996284829721</v>
      </c>
    </row>
    <row r="14" spans="1:279">
      <c r="A14" s="693" t="s">
        <v>101</v>
      </c>
      <c r="B14" s="693"/>
      <c r="C14" s="693"/>
      <c r="D14" s="693"/>
      <c r="E14" s="693"/>
      <c r="F14" s="693"/>
      <c r="H14" s="702" t="s">
        <v>115</v>
      </c>
      <c r="I14" s="703"/>
      <c r="J14" s="704"/>
      <c r="AJ14" s="238" t="s">
        <v>221</v>
      </c>
      <c r="AO14" s="89">
        <v>2024</v>
      </c>
      <c r="AP14" s="170">
        <f t="shared" si="181"/>
        <v>-3.8400000000000001E-3</v>
      </c>
      <c r="AQ14" s="170">
        <f t="shared" si="182"/>
        <v>-5.0000000000000012E-4</v>
      </c>
      <c r="AR14" s="170">
        <f t="shared" si="183"/>
        <v>0</v>
      </c>
      <c r="AS14" s="170">
        <f t="shared" si="184"/>
        <v>0</v>
      </c>
      <c r="AU14" s="170">
        <f t="shared" si="185"/>
        <v>-6.7153284671532861E-3</v>
      </c>
      <c r="AV14" s="170">
        <f t="shared" si="186"/>
        <v>-1.3917274939172749E-2</v>
      </c>
      <c r="AW14" s="170">
        <f t="shared" si="187"/>
        <v>-3.2700729927007302E-2</v>
      </c>
      <c r="AY14" s="170">
        <f t="shared" si="188"/>
        <v>-1.9962352941176462E-2</v>
      </c>
      <c r="AZ14" s="278">
        <f t="shared" si="189"/>
        <v>6.2844444444444417E-4</v>
      </c>
      <c r="BA14" s="284">
        <f t="shared" si="190"/>
        <v>-2.2360282852173889E-2</v>
      </c>
      <c r="BB14" s="276">
        <f t="shared" si="191"/>
        <v>-2.7710535652173897E-3</v>
      </c>
      <c r="BC14" s="277">
        <f t="shared" si="192"/>
        <v>-1.5971630608695635E-3</v>
      </c>
      <c r="BD14" s="278">
        <f t="shared" si="193"/>
        <v>6.2844444444444417E-4</v>
      </c>
      <c r="BE14" s="284">
        <f t="shared" si="194"/>
        <v>-2.2360282852173931E-2</v>
      </c>
      <c r="BF14" s="276">
        <f t="shared" si="195"/>
        <v>-2.7710535652173897E-3</v>
      </c>
      <c r="BG14" s="277">
        <f t="shared" si="196"/>
        <v>-1.5971630608695665E-3</v>
      </c>
      <c r="BH14" s="278">
        <f t="shared" si="197"/>
        <v>1.2119999999999995E-3</v>
      </c>
      <c r="BI14" s="284">
        <f t="shared" si="198"/>
        <v>-4.4720565704347848E-2</v>
      </c>
      <c r="BJ14" s="276">
        <f t="shared" si="199"/>
        <v>-5.5421071304347872E-3</v>
      </c>
      <c r="BK14" s="277">
        <f t="shared" si="200"/>
        <v>-3.1943261217391322E-3</v>
      </c>
      <c r="BL14" s="278">
        <f t="shared" si="201"/>
        <v>1.2119999999999995E-3</v>
      </c>
      <c r="BM14" s="284">
        <f t="shared" si="202"/>
        <v>-4.4720565704347806E-2</v>
      </c>
      <c r="BN14" s="276">
        <f t="shared" si="203"/>
        <v>-5.5421071304347777E-3</v>
      </c>
      <c r="BO14" s="277">
        <f t="shared" si="204"/>
        <v>-3.1943261217391291E-3</v>
      </c>
      <c r="BP14" s="278">
        <f t="shared" si="205"/>
        <v>1.2119999999999995E-3</v>
      </c>
      <c r="BQ14" s="284">
        <f t="shared" si="206"/>
        <v>-4.4720565704347862E-2</v>
      </c>
      <c r="BR14" s="276">
        <f t="shared" si="207"/>
        <v>-5.5421071304347855E-3</v>
      </c>
      <c r="BS14" s="277">
        <f t="shared" si="208"/>
        <v>-3.194326121739133E-3</v>
      </c>
      <c r="BT14" s="278">
        <f t="shared" si="209"/>
        <v>1.2119999999999995E-3</v>
      </c>
      <c r="BU14" s="284">
        <f t="shared" si="210"/>
        <v>-4.4720565704347806E-2</v>
      </c>
      <c r="BV14" s="276">
        <f t="shared" si="211"/>
        <v>-5.5421071304347811E-3</v>
      </c>
      <c r="BW14" s="278">
        <f t="shared" si="212"/>
        <v>-3.1943261217391287E-3</v>
      </c>
      <c r="BX14" s="391">
        <f t="shared" si="66"/>
        <v>-1.5069464052287573E-2</v>
      </c>
      <c r="BY14" s="392">
        <f t="shared" si="67"/>
        <v>-1.2777304486956523E-2</v>
      </c>
      <c r="BZ14" s="278"/>
      <c r="CB14" s="279">
        <f t="shared" si="16"/>
        <v>-7.7635686274509799E-2</v>
      </c>
      <c r="CC14" s="64">
        <f t="shared" si="17"/>
        <v>-7.8604404890934912E-2</v>
      </c>
      <c r="CD14" s="64">
        <f t="shared" si="18"/>
        <v>-7.9573123507360038E-2</v>
      </c>
      <c r="CE14" s="64">
        <f t="shared" si="19"/>
        <v>-8.1555449629099164E-2</v>
      </c>
      <c r="CF14" s="64">
        <f t="shared" si="20"/>
        <v>-8.3537775750838289E-2</v>
      </c>
      <c r="CG14" s="64">
        <f t="shared" si="21"/>
        <v>-8.5520101872577414E-2</v>
      </c>
      <c r="CH14" s="64">
        <f t="shared" si="22"/>
        <v>-8.750242799431654E-2</v>
      </c>
      <c r="CI14">
        <v>2024</v>
      </c>
      <c r="CJ14" s="240"/>
      <c r="CL14">
        <v>2024</v>
      </c>
      <c r="CM14" s="3">
        <f t="shared" si="68"/>
        <v>0.95</v>
      </c>
      <c r="CN14" s="64">
        <f t="shared" si="23"/>
        <v>0.94616</v>
      </c>
      <c r="CO14" s="64">
        <f t="shared" si="24"/>
        <v>0.94566000000000006</v>
      </c>
      <c r="CP14" s="64">
        <f t="shared" si="25"/>
        <v>0.94566000000000006</v>
      </c>
      <c r="CQ14" s="64">
        <f t="shared" si="26"/>
        <v>0.94566000000000006</v>
      </c>
      <c r="CR14" s="64">
        <f t="shared" si="27"/>
        <v>0.93894467153284678</v>
      </c>
      <c r="CS14" s="64">
        <f t="shared" si="28"/>
        <v>0.92502739659367406</v>
      </c>
      <c r="CT14" s="64">
        <f t="shared" si="29"/>
        <v>0.89232666666666671</v>
      </c>
      <c r="CU14" s="64">
        <f t="shared" si="30"/>
        <v>0.87236431372549028</v>
      </c>
      <c r="CV14" s="64">
        <f t="shared" si="31"/>
        <v>0.87299275816993471</v>
      </c>
      <c r="CW14" s="65">
        <f t="shared" si="69"/>
        <v>0.87139559510906517</v>
      </c>
      <c r="CX14" s="64">
        <f t="shared" si="70"/>
        <v>0.87362120261437914</v>
      </c>
      <c r="CY14" s="65">
        <f t="shared" si="71"/>
        <v>0.87042687649264006</v>
      </c>
      <c r="CZ14" s="64">
        <f t="shared" si="72"/>
        <v>0.87483320261437914</v>
      </c>
      <c r="DA14" s="65">
        <f t="shared" si="73"/>
        <v>0.86844455037090096</v>
      </c>
      <c r="DB14" s="64">
        <f t="shared" si="74"/>
        <v>0.87604520261437913</v>
      </c>
      <c r="DC14" s="65">
        <f t="shared" si="75"/>
        <v>0.86646222424916186</v>
      </c>
      <c r="DD14" s="64">
        <f t="shared" si="76"/>
        <v>0.87725720261437912</v>
      </c>
      <c r="DE14" s="65">
        <f t="shared" si="77"/>
        <v>0.86447989812742276</v>
      </c>
      <c r="DF14" s="64">
        <f t="shared" si="78"/>
        <v>0.87846920261437911</v>
      </c>
      <c r="DG14" s="65">
        <f t="shared" si="79"/>
        <v>0.86249757200568367</v>
      </c>
      <c r="DL14">
        <v>2024</v>
      </c>
      <c r="DM14" s="64">
        <f t="shared" si="80"/>
        <v>0.86249757200568367</v>
      </c>
      <c r="DN14" s="64">
        <f t="shared" si="81"/>
        <v>0.86447989812742276</v>
      </c>
      <c r="DO14" s="64">
        <f t="shared" si="82"/>
        <v>0.86646222424916186</v>
      </c>
      <c r="DP14" s="64">
        <f t="shared" si="83"/>
        <v>0.86844455037090096</v>
      </c>
      <c r="DQ14" s="64">
        <f t="shared" si="84"/>
        <v>0.87042687649264006</v>
      </c>
      <c r="DR14" s="64">
        <f t="shared" si="85"/>
        <v>0.87139559510906517</v>
      </c>
      <c r="DS14" s="64">
        <f t="shared" si="32"/>
        <v>0.87236431372549028</v>
      </c>
      <c r="DT14" s="64">
        <f t="shared" si="33"/>
        <v>0.89232666666666671</v>
      </c>
      <c r="DU14" s="64">
        <f t="shared" si="34"/>
        <v>0.92502739659367406</v>
      </c>
      <c r="DV14" s="64">
        <f t="shared" si="35"/>
        <v>0.93894467153284678</v>
      </c>
      <c r="DW14" s="64">
        <f t="shared" si="36"/>
        <v>0.94566000000000006</v>
      </c>
      <c r="DX14" s="64">
        <f t="shared" si="37"/>
        <v>0.94566000000000006</v>
      </c>
      <c r="DY14" s="64">
        <f t="shared" si="38"/>
        <v>0.94566000000000006</v>
      </c>
      <c r="DZ14" s="64">
        <f t="shared" si="39"/>
        <v>0.94616</v>
      </c>
      <c r="EA14" s="3">
        <f t="shared" si="86"/>
        <v>0.95</v>
      </c>
      <c r="EB14">
        <v>2024</v>
      </c>
      <c r="EC14" s="269">
        <f t="shared" si="87"/>
        <v>0.86249757200568378</v>
      </c>
      <c r="ED14" s="269">
        <f t="shared" si="88"/>
        <v>0.05</v>
      </c>
      <c r="EE14" s="64">
        <f t="shared" si="89"/>
        <v>1.9823261217390975E-3</v>
      </c>
      <c r="EF14" s="64">
        <f t="shared" si="90"/>
        <v>1.9823261217390975E-3</v>
      </c>
      <c r="EG14" s="64">
        <f t="shared" si="91"/>
        <v>1.9823261217390975E-3</v>
      </c>
      <c r="EH14" s="64">
        <f t="shared" si="92"/>
        <v>1.9823261217390975E-3</v>
      </c>
      <c r="EI14" s="64">
        <f t="shared" si="93"/>
        <v>9.687186164251127E-4</v>
      </c>
      <c r="EJ14" s="64">
        <f t="shared" si="94"/>
        <v>9.687186164251127E-4</v>
      </c>
      <c r="EK14" s="64">
        <f t="shared" si="95"/>
        <v>1.9962352941176431E-2</v>
      </c>
      <c r="EL14" s="64">
        <f t="shared" si="96"/>
        <v>3.2700729927007344E-2</v>
      </c>
      <c r="EM14" s="64">
        <f t="shared" si="97"/>
        <v>1.3917274939172719E-2</v>
      </c>
      <c r="EN14" s="64">
        <f t="shared" si="98"/>
        <v>6.7153284671532809E-3</v>
      </c>
      <c r="EO14" s="64">
        <f t="shared" si="99"/>
        <v>0</v>
      </c>
      <c r="EP14" s="64">
        <f t="shared" si="100"/>
        <v>0</v>
      </c>
      <c r="EQ14" s="64">
        <f t="shared" si="101"/>
        <v>4.9999999999994493E-4</v>
      </c>
      <c r="ER14" s="64">
        <f t="shared" si="102"/>
        <v>3.8399999999999546E-3</v>
      </c>
      <c r="EX14" s="89">
        <v>2024</v>
      </c>
      <c r="EY14" s="278">
        <f t="shared" si="103"/>
        <v>0.96333333333333326</v>
      </c>
      <c r="EZ14" s="278"/>
      <c r="FA14" s="278">
        <f t="shared" si="104"/>
        <v>0.87583090533901675</v>
      </c>
      <c r="FB14" s="278">
        <f t="shared" si="41"/>
        <v>0.05</v>
      </c>
      <c r="FC14" s="64">
        <f t="shared" si="42"/>
        <v>1.5971630608695653E-2</v>
      </c>
      <c r="FD14" s="64">
        <f t="shared" si="105"/>
        <v>1.3857464052287573E-2</v>
      </c>
      <c r="FE14" s="64">
        <f t="shared" si="106"/>
        <v>3.2700729927007344E-2</v>
      </c>
      <c r="FF14" s="64">
        <f t="shared" si="107"/>
        <v>1.3917274939172719E-2</v>
      </c>
      <c r="FG14" s="64">
        <f t="shared" si="108"/>
        <v>6.7153284671532809E-3</v>
      </c>
      <c r="FH14" s="64">
        <f t="shared" si="109"/>
        <v>0</v>
      </c>
      <c r="FI14" s="64">
        <f t="shared" si="110"/>
        <v>0</v>
      </c>
      <c r="FJ14" s="64">
        <f t="shared" si="111"/>
        <v>4.9999999999994493E-4</v>
      </c>
      <c r="FK14" s="280">
        <f t="shared" si="112"/>
        <v>3.8399999999999546E-3</v>
      </c>
      <c r="FL14" s="64"/>
      <c r="FM14" s="89">
        <v>2024</v>
      </c>
      <c r="FN14" s="278">
        <f t="shared" si="113"/>
        <v>0.96333333333333326</v>
      </c>
      <c r="FP14" s="278">
        <f t="shared" si="114"/>
        <v>0.87781323146075596</v>
      </c>
      <c r="FQ14" s="278">
        <f t="shared" si="115"/>
        <v>0.05</v>
      </c>
      <c r="FR14" s="64">
        <f t="shared" si="116"/>
        <v>1.2777304486956523E-2</v>
      </c>
      <c r="FS14" s="64">
        <f t="shared" si="117"/>
        <v>1.5069464052287573E-2</v>
      </c>
      <c r="FT14" s="64">
        <f t="shared" si="118"/>
        <v>3.2700729927007344E-2</v>
      </c>
      <c r="FU14" s="64">
        <f t="shared" si="119"/>
        <v>1.3917274939172719E-2</v>
      </c>
      <c r="FV14" s="64">
        <f t="shared" si="120"/>
        <v>6.7153284671532809E-3</v>
      </c>
      <c r="FW14" s="64">
        <f t="shared" si="121"/>
        <v>0</v>
      </c>
      <c r="FX14" s="64">
        <f t="shared" si="122"/>
        <v>0</v>
      </c>
      <c r="FY14" s="64">
        <f t="shared" si="123"/>
        <v>4.9999999999994493E-4</v>
      </c>
      <c r="FZ14" s="280">
        <f t="shared" si="124"/>
        <v>3.8399999999999546E-3</v>
      </c>
      <c r="GA14" s="64"/>
      <c r="GB14" s="89">
        <v>2024</v>
      </c>
      <c r="GC14" s="278">
        <f t="shared" si="125"/>
        <v>0.96333333333333326</v>
      </c>
      <c r="GE14" s="278">
        <f t="shared" si="126"/>
        <v>0.87979555758249506</v>
      </c>
      <c r="GF14" s="278">
        <f t="shared" si="127"/>
        <v>0.05</v>
      </c>
      <c r="GG14" s="64">
        <f t="shared" si="128"/>
        <v>9.58297836521739E-3</v>
      </c>
      <c r="GH14" s="64">
        <f t="shared" si="129"/>
        <v>1.6281464052287573E-2</v>
      </c>
      <c r="GI14" s="64">
        <f t="shared" si="130"/>
        <v>3.2700729927007344E-2</v>
      </c>
      <c r="GJ14" s="64">
        <f t="shared" si="131"/>
        <v>1.3917274939172719E-2</v>
      </c>
      <c r="GK14" s="64">
        <f t="shared" si="132"/>
        <v>6.7153284671532809E-3</v>
      </c>
      <c r="GL14" s="64">
        <f t="shared" si="133"/>
        <v>0</v>
      </c>
      <c r="GM14" s="64">
        <f t="shared" si="134"/>
        <v>0</v>
      </c>
      <c r="GN14" s="64">
        <f t="shared" si="135"/>
        <v>4.9999999999994493E-4</v>
      </c>
      <c r="GO14" s="280">
        <f t="shared" si="136"/>
        <v>3.8399999999999546E-3</v>
      </c>
      <c r="GP14" s="64"/>
      <c r="GQ14" s="89">
        <v>2024</v>
      </c>
      <c r="GR14" s="278">
        <f t="shared" si="137"/>
        <v>0.96333333333333326</v>
      </c>
      <c r="GT14" s="278">
        <f t="shared" si="138"/>
        <v>0.88177788370423416</v>
      </c>
      <c r="GU14" s="278">
        <f t="shared" si="139"/>
        <v>0.05</v>
      </c>
      <c r="GV14" s="64">
        <f t="shared" si="140"/>
        <v>6.3886522434782617E-3</v>
      </c>
      <c r="GW14" s="64">
        <f t="shared" si="141"/>
        <v>1.749346405228757E-2</v>
      </c>
      <c r="GX14" s="64">
        <f t="shared" si="43"/>
        <v>3.2700729927007344E-2</v>
      </c>
      <c r="GY14" s="64">
        <f t="shared" si="44"/>
        <v>1.3917274939172719E-2</v>
      </c>
      <c r="GZ14" s="64">
        <f t="shared" si="45"/>
        <v>6.7153284671532809E-3</v>
      </c>
      <c r="HA14" s="64">
        <f t="shared" si="46"/>
        <v>0</v>
      </c>
      <c r="HB14" s="64">
        <f t="shared" si="47"/>
        <v>0</v>
      </c>
      <c r="HC14" s="64">
        <f t="shared" si="48"/>
        <v>4.9999999999994493E-4</v>
      </c>
      <c r="HD14" s="280">
        <f t="shared" si="49"/>
        <v>3.8399999999999546E-3</v>
      </c>
      <c r="HE14" s="64"/>
      <c r="HF14" s="89">
        <v>2024</v>
      </c>
      <c r="HG14" s="278">
        <f t="shared" si="142"/>
        <v>0.96333333333333326</v>
      </c>
      <c r="HI14" s="278">
        <f t="shared" si="143"/>
        <v>0.88376020982597336</v>
      </c>
      <c r="HJ14" s="278">
        <f t="shared" si="144"/>
        <v>0.05</v>
      </c>
      <c r="HK14" s="64">
        <f t="shared" si="145"/>
        <v>3.19432612173913E-3</v>
      </c>
      <c r="HL14" s="64">
        <f t="shared" si="146"/>
        <v>1.8705464052287572E-2</v>
      </c>
      <c r="HM14" s="64">
        <f t="shared" si="147"/>
        <v>3.2700729927007344E-2</v>
      </c>
      <c r="HN14" s="64">
        <f t="shared" si="148"/>
        <v>1.3917274939172719E-2</v>
      </c>
      <c r="HO14" s="64">
        <f t="shared" si="149"/>
        <v>6.7153284671532809E-3</v>
      </c>
      <c r="HP14" s="64">
        <f t="shared" si="150"/>
        <v>0</v>
      </c>
      <c r="HQ14" s="64">
        <f t="shared" si="151"/>
        <v>0</v>
      </c>
      <c r="HR14" s="64">
        <f t="shared" si="152"/>
        <v>4.9999999999994493E-4</v>
      </c>
      <c r="HS14" s="280">
        <f t="shared" si="153"/>
        <v>3.8399999999999546E-3</v>
      </c>
      <c r="HT14" s="64"/>
      <c r="HU14" s="89">
        <v>2024</v>
      </c>
      <c r="HV14" s="278">
        <f t="shared" si="154"/>
        <v>0.96333333333333326</v>
      </c>
      <c r="HX14" s="278">
        <f t="shared" si="155"/>
        <v>0.88472892844239848</v>
      </c>
      <c r="HY14" s="278">
        <f t="shared" si="156"/>
        <v>0.05</v>
      </c>
      <c r="HZ14" s="64">
        <f t="shared" si="157"/>
        <v>1.5971630608695635E-3</v>
      </c>
      <c r="IA14" s="64">
        <f t="shared" si="158"/>
        <v>1.9333908496732017E-2</v>
      </c>
      <c r="IB14" s="64">
        <f t="shared" si="159"/>
        <v>3.2700729927007344E-2</v>
      </c>
      <c r="IC14" s="64">
        <f t="shared" si="160"/>
        <v>1.3917274939172719E-2</v>
      </c>
      <c r="ID14" s="64">
        <f t="shared" si="161"/>
        <v>6.7153284671532809E-3</v>
      </c>
      <c r="IE14" s="64">
        <f t="shared" si="162"/>
        <v>0</v>
      </c>
      <c r="IF14" s="64">
        <f t="shared" si="163"/>
        <v>0</v>
      </c>
      <c r="IG14" s="64">
        <f t="shared" si="164"/>
        <v>4.9999999999994493E-4</v>
      </c>
      <c r="IH14" s="280">
        <f t="shared" si="165"/>
        <v>3.8399999999999546E-3</v>
      </c>
      <c r="II14" s="64"/>
      <c r="IJ14" s="89">
        <v>2024</v>
      </c>
      <c r="IK14" s="278">
        <f t="shared" si="166"/>
        <v>0.96333333333333326</v>
      </c>
      <c r="IM14" s="278">
        <f t="shared" si="167"/>
        <v>0.88569764705882359</v>
      </c>
      <c r="IN14" s="278">
        <f t="shared" si="168"/>
        <v>0.05</v>
      </c>
      <c r="IO14" s="64">
        <v>0</v>
      </c>
      <c r="IP14" s="64">
        <f t="shared" si="169"/>
        <v>1.9962352941176462E-2</v>
      </c>
      <c r="IQ14" s="64">
        <f t="shared" si="50"/>
        <v>3.2700729927007344E-2</v>
      </c>
      <c r="IR14" s="64">
        <f t="shared" si="51"/>
        <v>1.3917274939172719E-2</v>
      </c>
      <c r="IS14" s="64">
        <f t="shared" si="52"/>
        <v>6.7153284671532809E-3</v>
      </c>
      <c r="IT14" s="64">
        <f t="shared" si="53"/>
        <v>0</v>
      </c>
      <c r="IU14" s="64">
        <f t="shared" si="54"/>
        <v>0</v>
      </c>
      <c r="IV14" s="64">
        <f t="shared" si="55"/>
        <v>4.9999999999994493E-4</v>
      </c>
      <c r="IW14" s="280">
        <f t="shared" si="56"/>
        <v>3.8399999999999546E-3</v>
      </c>
      <c r="IX14" s="3">
        <f t="shared" si="170"/>
        <v>0.83607017543859596</v>
      </c>
      <c r="IY14">
        <f t="shared" si="57"/>
        <v>2024</v>
      </c>
      <c r="IZ14" s="3">
        <f t="shared" si="171"/>
        <v>4.5897441176470588</v>
      </c>
      <c r="JA14" s="353">
        <f>HLOOKUP(JA$3,'Main calculations'!JG$8:JS$39,7,FALSE)</f>
        <v>4.8190506239885131</v>
      </c>
      <c r="JB14" s="3">
        <f t="shared" si="172"/>
        <v>4.7833333333333332</v>
      </c>
      <c r="JC14" s="353">
        <f t="shared" si="173"/>
        <v>5.0350877192982457</v>
      </c>
      <c r="JD14" s="368">
        <f t="shared" si="174"/>
        <v>4.4656725146198823</v>
      </c>
      <c r="JE14" s="369">
        <f t="shared" si="175"/>
        <v>4.7007079101261926</v>
      </c>
      <c r="JF14" s="363">
        <f t="shared" si="176"/>
        <v>4.5751697532412612</v>
      </c>
      <c r="JG14" s="362">
        <f t="shared" si="58"/>
        <v>4.815968161306591</v>
      </c>
      <c r="JH14" s="366">
        <f t="shared" si="59"/>
        <v>4.5780980927890873</v>
      </c>
      <c r="JI14" s="367">
        <f t="shared" si="9"/>
        <v>4.8190506239885131</v>
      </c>
      <c r="JJ14" s="363">
        <f t="shared" si="60"/>
        <v>4.5810264323369134</v>
      </c>
      <c r="JK14" s="362">
        <f t="shared" si="61"/>
        <v>4.8221330866704353</v>
      </c>
      <c r="JL14" s="366">
        <f t="shared" si="177"/>
        <v>4.5839547718847395</v>
      </c>
      <c r="JM14" s="367">
        <f t="shared" si="62"/>
        <v>4.8252155493523574</v>
      </c>
      <c r="JN14" s="363">
        <f t="shared" si="178"/>
        <v>4.5868831114325657</v>
      </c>
      <c r="JO14" s="362">
        <f t="shared" si="63"/>
        <v>4.8282980120342796</v>
      </c>
      <c r="JP14" s="366">
        <f t="shared" si="179"/>
        <v>4.5883136145398122</v>
      </c>
      <c r="JQ14" s="367">
        <f t="shared" si="64"/>
        <v>4.8298038047787504</v>
      </c>
      <c r="JR14" s="363">
        <f t="shared" si="180"/>
        <v>4.5897441176470588</v>
      </c>
      <c r="JS14" s="362">
        <f t="shared" si="65"/>
        <v>4.8313095975232203</v>
      </c>
    </row>
    <row r="15" spans="1:279">
      <c r="A15" s="689" t="s">
        <v>102</v>
      </c>
      <c r="B15" s="689"/>
      <c r="C15" s="689"/>
      <c r="D15" s="689"/>
      <c r="E15" s="689"/>
      <c r="F15" s="689"/>
      <c r="G15" s="122"/>
      <c r="H15" s="295" t="s">
        <v>146</v>
      </c>
      <c r="I15" s="2" t="s">
        <v>147</v>
      </c>
      <c r="J15" s="296" t="s">
        <v>148</v>
      </c>
      <c r="K15" s="2"/>
      <c r="AO15" s="89">
        <v>2025</v>
      </c>
      <c r="AP15" s="170">
        <f t="shared" si="181"/>
        <v>-4.8000000000000004E-3</v>
      </c>
      <c r="AQ15" s="170">
        <f t="shared" si="182"/>
        <v>-7.5000000000000023E-4</v>
      </c>
      <c r="AR15" s="170">
        <f t="shared" si="183"/>
        <v>-8.653846153846153E-4</v>
      </c>
      <c r="AS15" s="170">
        <f t="shared" si="184"/>
        <v>0</v>
      </c>
      <c r="AU15" s="170">
        <f t="shared" si="185"/>
        <v>-8.3941605839416081E-3</v>
      </c>
      <c r="AV15" s="170">
        <f t="shared" si="186"/>
        <v>-1.7396593673965937E-2</v>
      </c>
      <c r="AW15" s="170">
        <f t="shared" si="187"/>
        <v>-4.0875912408759124E-2</v>
      </c>
      <c r="AY15" s="170">
        <f t="shared" si="188"/>
        <v>-2.4952941176470577E-2</v>
      </c>
      <c r="AZ15" s="278">
        <f t="shared" si="189"/>
        <v>9.4266666666666631E-4</v>
      </c>
      <c r="BA15" s="284">
        <f t="shared" si="190"/>
        <v>-2.2992377739130411E-2</v>
      </c>
      <c r="BB15" s="276">
        <f t="shared" si="191"/>
        <v>-4.1565803478260848E-3</v>
      </c>
      <c r="BC15" s="277">
        <f t="shared" si="192"/>
        <v>-2.4634690434782581E-3</v>
      </c>
      <c r="BD15" s="278">
        <f t="shared" si="193"/>
        <v>9.4266666666666631E-4</v>
      </c>
      <c r="BE15" s="284">
        <f t="shared" si="194"/>
        <v>-2.2992377739130453E-2</v>
      </c>
      <c r="BF15" s="276">
        <f t="shared" si="195"/>
        <v>-4.1565803478260848E-3</v>
      </c>
      <c r="BG15" s="277">
        <f t="shared" si="196"/>
        <v>-2.4634690434782629E-3</v>
      </c>
      <c r="BH15" s="278">
        <f t="shared" si="197"/>
        <v>1.8179999999999993E-3</v>
      </c>
      <c r="BI15" s="284">
        <f t="shared" si="198"/>
        <v>-4.5984755478260891E-2</v>
      </c>
      <c r="BJ15" s="276">
        <f t="shared" si="199"/>
        <v>-8.3131606956521817E-3</v>
      </c>
      <c r="BK15" s="277">
        <f t="shared" si="200"/>
        <v>-4.9269380869565249E-3</v>
      </c>
      <c r="BL15" s="278">
        <f t="shared" si="201"/>
        <v>1.8179999999999993E-3</v>
      </c>
      <c r="BM15" s="284">
        <f t="shared" si="202"/>
        <v>-4.598475547826085E-2</v>
      </c>
      <c r="BN15" s="276">
        <f t="shared" si="203"/>
        <v>-8.3131606956521661E-3</v>
      </c>
      <c r="BO15" s="277">
        <f t="shared" si="204"/>
        <v>-4.9269380869565189E-3</v>
      </c>
      <c r="BP15" s="278">
        <f t="shared" si="205"/>
        <v>1.8179999999999993E-3</v>
      </c>
      <c r="BQ15" s="284">
        <f t="shared" si="206"/>
        <v>-4.5984755478260905E-2</v>
      </c>
      <c r="BR15" s="276">
        <f t="shared" si="207"/>
        <v>-8.3131606956521782E-3</v>
      </c>
      <c r="BS15" s="277">
        <f t="shared" si="208"/>
        <v>-4.9269380869565258E-3</v>
      </c>
      <c r="BT15" s="278">
        <f t="shared" si="209"/>
        <v>1.8179999999999993E-3</v>
      </c>
      <c r="BU15" s="284">
        <f t="shared" si="210"/>
        <v>-4.598475547826085E-2</v>
      </c>
      <c r="BV15" s="276">
        <f t="shared" si="211"/>
        <v>-8.3131606956521713E-3</v>
      </c>
      <c r="BW15" s="278">
        <f t="shared" si="212"/>
        <v>-4.9269380869565189E-3</v>
      </c>
      <c r="BX15" s="391">
        <f t="shared" si="66"/>
        <v>-1.7613607843137244E-2</v>
      </c>
      <c r="BY15" s="392">
        <f t="shared" si="67"/>
        <v>-1.9707752347826089E-2</v>
      </c>
      <c r="BZ15" s="278"/>
      <c r="CB15" s="279">
        <f t="shared" si="16"/>
        <v>-9.8034992458521861E-2</v>
      </c>
      <c r="CC15" s="64">
        <f t="shared" si="17"/>
        <v>-9.9555794835333458E-2</v>
      </c>
      <c r="CD15" s="64">
        <f t="shared" si="18"/>
        <v>-0.10107659721214506</v>
      </c>
      <c r="CE15" s="64">
        <f t="shared" si="19"/>
        <v>-0.10418553529910159</v>
      </c>
      <c r="CF15" s="64">
        <f t="shared" si="20"/>
        <v>-0.1072944733860581</v>
      </c>
      <c r="CG15" s="64">
        <f t="shared" si="21"/>
        <v>-0.11040341147301463</v>
      </c>
      <c r="CH15" s="64">
        <f t="shared" si="22"/>
        <v>-0.11351234955997115</v>
      </c>
      <c r="CI15">
        <v>2025</v>
      </c>
      <c r="CJ15" s="240"/>
      <c r="CL15">
        <v>2025</v>
      </c>
      <c r="CM15" s="3">
        <f t="shared" si="68"/>
        <v>0.95</v>
      </c>
      <c r="CN15" s="64">
        <f t="shared" si="23"/>
        <v>0.94519999999999993</v>
      </c>
      <c r="CO15" s="64">
        <f t="shared" si="24"/>
        <v>0.9444499999999999</v>
      </c>
      <c r="CP15" s="64">
        <f t="shared" si="25"/>
        <v>0.94358461538461524</v>
      </c>
      <c r="CQ15" s="64">
        <f t="shared" si="26"/>
        <v>0.94358461538461524</v>
      </c>
      <c r="CR15" s="64">
        <f t="shared" si="27"/>
        <v>0.93519045480067364</v>
      </c>
      <c r="CS15" s="64">
        <f t="shared" si="28"/>
        <v>0.91779386112670769</v>
      </c>
      <c r="CT15" s="64">
        <f t="shared" si="29"/>
        <v>0.87691794871794859</v>
      </c>
      <c r="CU15" s="64">
        <f t="shared" si="30"/>
        <v>0.85196500754147797</v>
      </c>
      <c r="CV15" s="64">
        <f t="shared" si="31"/>
        <v>0.85290767420814462</v>
      </c>
      <c r="CW15" s="65">
        <f t="shared" si="69"/>
        <v>0.85044420516466634</v>
      </c>
      <c r="CX15" s="64">
        <f t="shared" si="70"/>
        <v>0.85385034087481126</v>
      </c>
      <c r="CY15" s="65">
        <f t="shared" si="71"/>
        <v>0.84892340278785472</v>
      </c>
      <c r="CZ15" s="64">
        <f t="shared" si="72"/>
        <v>0.85566834087481125</v>
      </c>
      <c r="DA15" s="65">
        <f t="shared" si="73"/>
        <v>0.84581446470089816</v>
      </c>
      <c r="DB15" s="64">
        <f t="shared" si="74"/>
        <v>0.85748634087481124</v>
      </c>
      <c r="DC15" s="65">
        <f t="shared" si="75"/>
        <v>0.8427055266139416</v>
      </c>
      <c r="DD15" s="64">
        <f t="shared" si="76"/>
        <v>0.85930434087481122</v>
      </c>
      <c r="DE15" s="65">
        <f t="shared" si="77"/>
        <v>0.83959658852698504</v>
      </c>
      <c r="DF15" s="64">
        <f t="shared" si="78"/>
        <v>0.86112234087481121</v>
      </c>
      <c r="DG15" s="65">
        <f t="shared" si="79"/>
        <v>0.83648765044002849</v>
      </c>
      <c r="DL15">
        <v>2025</v>
      </c>
      <c r="DM15" s="64">
        <f t="shared" si="80"/>
        <v>0.83648765044002849</v>
      </c>
      <c r="DN15" s="64">
        <f t="shared" si="81"/>
        <v>0.83959658852698504</v>
      </c>
      <c r="DO15" s="64">
        <f t="shared" si="82"/>
        <v>0.8427055266139416</v>
      </c>
      <c r="DP15" s="64">
        <f t="shared" si="83"/>
        <v>0.84581446470089816</v>
      </c>
      <c r="DQ15" s="64">
        <f t="shared" si="84"/>
        <v>0.84892340278785472</v>
      </c>
      <c r="DR15" s="64">
        <f t="shared" si="85"/>
        <v>0.85044420516466634</v>
      </c>
      <c r="DS15" s="64">
        <f t="shared" si="32"/>
        <v>0.85196500754147797</v>
      </c>
      <c r="DT15" s="64">
        <f t="shared" si="33"/>
        <v>0.87691794871794859</v>
      </c>
      <c r="DU15" s="64">
        <f t="shared" si="34"/>
        <v>0.91779386112670769</v>
      </c>
      <c r="DV15" s="64">
        <f t="shared" si="35"/>
        <v>0.93519045480067364</v>
      </c>
      <c r="DW15" s="64">
        <f t="shared" si="36"/>
        <v>0.94358461538461524</v>
      </c>
      <c r="DX15" s="64">
        <f t="shared" si="37"/>
        <v>0.94358461538461524</v>
      </c>
      <c r="DY15" s="64">
        <f t="shared" si="38"/>
        <v>0.9444499999999999</v>
      </c>
      <c r="DZ15" s="64">
        <f t="shared" si="39"/>
        <v>0.94519999999999993</v>
      </c>
      <c r="EA15" s="3">
        <f t="shared" si="86"/>
        <v>0.95</v>
      </c>
      <c r="EB15">
        <v>2025</v>
      </c>
      <c r="EC15" s="269">
        <f t="shared" si="87"/>
        <v>0.83648765044002849</v>
      </c>
      <c r="ED15" s="269">
        <f t="shared" si="88"/>
        <v>0.05</v>
      </c>
      <c r="EE15" s="64">
        <f t="shared" si="89"/>
        <v>3.1089380869565586E-3</v>
      </c>
      <c r="EF15" s="64">
        <f t="shared" si="90"/>
        <v>3.1089380869565586E-3</v>
      </c>
      <c r="EG15" s="64">
        <f t="shared" si="91"/>
        <v>3.1089380869565586E-3</v>
      </c>
      <c r="EH15" s="64">
        <f t="shared" si="92"/>
        <v>3.1089380869565586E-3</v>
      </c>
      <c r="EI15" s="64">
        <f t="shared" si="93"/>
        <v>1.5208023768116252E-3</v>
      </c>
      <c r="EJ15" s="64">
        <f t="shared" si="94"/>
        <v>1.5208023768116252E-3</v>
      </c>
      <c r="EK15" s="64">
        <f t="shared" si="95"/>
        <v>2.4952941176470622E-2</v>
      </c>
      <c r="EL15" s="64">
        <f t="shared" si="96"/>
        <v>4.0875912408759096E-2</v>
      </c>
      <c r="EM15" s="64">
        <f t="shared" si="97"/>
        <v>1.7396593673965954E-2</v>
      </c>
      <c r="EN15" s="64">
        <f t="shared" si="98"/>
        <v>8.3941605839416011E-3</v>
      </c>
      <c r="EO15" s="64">
        <f t="shared" si="99"/>
        <v>0</v>
      </c>
      <c r="EP15" s="64">
        <f t="shared" si="100"/>
        <v>8.6538461538465672E-4</v>
      </c>
      <c r="EQ15" s="64">
        <f t="shared" si="101"/>
        <v>7.5000000000002842E-4</v>
      </c>
      <c r="ER15" s="64">
        <f t="shared" si="102"/>
        <v>4.8000000000000265E-3</v>
      </c>
      <c r="EX15" s="89">
        <v>2025</v>
      </c>
      <c r="EY15" s="278">
        <f t="shared" si="103"/>
        <v>0.96666666666666667</v>
      </c>
      <c r="EZ15" s="278"/>
      <c r="FA15" s="278">
        <f t="shared" si="104"/>
        <v>0.85315431710669543</v>
      </c>
      <c r="FB15" s="278">
        <f t="shared" si="41"/>
        <v>0.05</v>
      </c>
      <c r="FC15" s="64">
        <f t="shared" si="42"/>
        <v>2.4634690434782607E-2</v>
      </c>
      <c r="FD15" s="64">
        <f t="shared" si="105"/>
        <v>1.5795607843137244E-2</v>
      </c>
      <c r="FE15" s="64">
        <f t="shared" si="106"/>
        <v>4.0875912408759096E-2</v>
      </c>
      <c r="FF15" s="64">
        <f t="shared" si="107"/>
        <v>1.7396593673965954E-2</v>
      </c>
      <c r="FG15" s="64">
        <f t="shared" si="108"/>
        <v>8.3941605839416011E-3</v>
      </c>
      <c r="FH15" s="64">
        <f t="shared" si="109"/>
        <v>0</v>
      </c>
      <c r="FI15" s="64">
        <f t="shared" si="110"/>
        <v>8.6538461538465672E-4</v>
      </c>
      <c r="FJ15" s="64">
        <f t="shared" si="111"/>
        <v>7.5000000000002842E-4</v>
      </c>
      <c r="FK15" s="280">
        <f t="shared" si="112"/>
        <v>4.8000000000000265E-3</v>
      </c>
      <c r="FL15" s="64"/>
      <c r="FM15" s="89">
        <v>2025</v>
      </c>
      <c r="FN15" s="278">
        <f t="shared" si="113"/>
        <v>0.96666666666666667</v>
      </c>
      <c r="FP15" s="278">
        <f t="shared" si="114"/>
        <v>0.85626325519365198</v>
      </c>
      <c r="FQ15" s="278">
        <f t="shared" si="115"/>
        <v>0.05</v>
      </c>
      <c r="FR15" s="64">
        <f t="shared" si="116"/>
        <v>1.9707752347826089E-2</v>
      </c>
      <c r="FS15" s="64">
        <f t="shared" si="117"/>
        <v>1.7613607843137244E-2</v>
      </c>
      <c r="FT15" s="64">
        <f t="shared" si="118"/>
        <v>4.0875912408759096E-2</v>
      </c>
      <c r="FU15" s="64">
        <f t="shared" si="119"/>
        <v>1.7396593673965954E-2</v>
      </c>
      <c r="FV15" s="64">
        <f t="shared" si="120"/>
        <v>8.3941605839416011E-3</v>
      </c>
      <c r="FW15" s="64">
        <f t="shared" si="121"/>
        <v>0</v>
      </c>
      <c r="FX15" s="64">
        <f t="shared" si="122"/>
        <v>8.6538461538465672E-4</v>
      </c>
      <c r="FY15" s="64">
        <f t="shared" si="123"/>
        <v>7.5000000000002842E-4</v>
      </c>
      <c r="FZ15" s="280">
        <f t="shared" si="124"/>
        <v>4.8000000000000265E-3</v>
      </c>
      <c r="GA15" s="64"/>
      <c r="GB15" s="89">
        <v>2025</v>
      </c>
      <c r="GC15" s="278">
        <f t="shared" si="125"/>
        <v>0.96666666666666667</v>
      </c>
      <c r="GE15" s="278">
        <f t="shared" si="126"/>
        <v>0.85937219328060854</v>
      </c>
      <c r="GF15" s="278">
        <f t="shared" si="127"/>
        <v>0.05</v>
      </c>
      <c r="GG15" s="64">
        <f t="shared" si="128"/>
        <v>1.4780814260869564E-2</v>
      </c>
      <c r="GH15" s="64">
        <f t="shared" si="129"/>
        <v>1.9431607843137244E-2</v>
      </c>
      <c r="GI15" s="64">
        <f t="shared" si="130"/>
        <v>4.0875912408759096E-2</v>
      </c>
      <c r="GJ15" s="64">
        <f t="shared" si="131"/>
        <v>1.7396593673965954E-2</v>
      </c>
      <c r="GK15" s="64">
        <f t="shared" si="132"/>
        <v>8.3941605839416011E-3</v>
      </c>
      <c r="GL15" s="64">
        <f t="shared" si="133"/>
        <v>0</v>
      </c>
      <c r="GM15" s="64">
        <f t="shared" si="134"/>
        <v>8.6538461538465672E-4</v>
      </c>
      <c r="GN15" s="64">
        <f t="shared" si="135"/>
        <v>7.5000000000002842E-4</v>
      </c>
      <c r="GO15" s="280">
        <f t="shared" si="136"/>
        <v>4.8000000000000265E-3</v>
      </c>
      <c r="GP15" s="64"/>
      <c r="GQ15" s="89">
        <v>2025</v>
      </c>
      <c r="GR15" s="278">
        <f t="shared" si="137"/>
        <v>0.96666666666666667</v>
      </c>
      <c r="GT15" s="278">
        <f t="shared" si="138"/>
        <v>0.86248113136756499</v>
      </c>
      <c r="GU15" s="278">
        <f t="shared" si="139"/>
        <v>0.05</v>
      </c>
      <c r="GV15" s="64">
        <f t="shared" si="140"/>
        <v>9.8538761739130447E-3</v>
      </c>
      <c r="GW15" s="64">
        <f t="shared" si="141"/>
        <v>2.1249607843137244E-2</v>
      </c>
      <c r="GX15" s="64">
        <f t="shared" si="43"/>
        <v>4.0875912408759096E-2</v>
      </c>
      <c r="GY15" s="64">
        <f t="shared" si="44"/>
        <v>1.7396593673965954E-2</v>
      </c>
      <c r="GZ15" s="64">
        <f t="shared" si="45"/>
        <v>8.3941605839416011E-3</v>
      </c>
      <c r="HA15" s="64">
        <f t="shared" si="46"/>
        <v>0</v>
      </c>
      <c r="HB15" s="64">
        <f t="shared" si="47"/>
        <v>8.6538461538465672E-4</v>
      </c>
      <c r="HC15" s="64">
        <f t="shared" si="48"/>
        <v>7.5000000000002842E-4</v>
      </c>
      <c r="HD15" s="280">
        <f t="shared" si="49"/>
        <v>4.8000000000000265E-3</v>
      </c>
      <c r="HE15" s="64"/>
      <c r="HF15" s="89">
        <v>2025</v>
      </c>
      <c r="HG15" s="278">
        <f t="shared" si="142"/>
        <v>0.96666666666666667</v>
      </c>
      <c r="HI15" s="278">
        <f t="shared" si="143"/>
        <v>0.86559006945452155</v>
      </c>
      <c r="HJ15" s="278">
        <f t="shared" si="144"/>
        <v>0.05</v>
      </c>
      <c r="HK15" s="64">
        <f t="shared" si="145"/>
        <v>4.9269380869565206E-3</v>
      </c>
      <c r="HL15" s="64">
        <f t="shared" si="146"/>
        <v>2.3067607843137244E-2</v>
      </c>
      <c r="HM15" s="64">
        <f t="shared" si="147"/>
        <v>4.0875912408759096E-2</v>
      </c>
      <c r="HN15" s="64">
        <f t="shared" si="148"/>
        <v>1.7396593673965954E-2</v>
      </c>
      <c r="HO15" s="64">
        <f t="shared" si="149"/>
        <v>8.3941605839416011E-3</v>
      </c>
      <c r="HP15" s="64">
        <f t="shared" si="150"/>
        <v>0</v>
      </c>
      <c r="HQ15" s="64">
        <f t="shared" si="151"/>
        <v>8.6538461538465672E-4</v>
      </c>
      <c r="HR15" s="64">
        <f t="shared" si="152"/>
        <v>7.5000000000002842E-4</v>
      </c>
      <c r="HS15" s="280">
        <f t="shared" si="153"/>
        <v>4.8000000000000265E-3</v>
      </c>
      <c r="HT15" s="64"/>
      <c r="HU15" s="89">
        <v>2025</v>
      </c>
      <c r="HV15" s="278">
        <f t="shared" si="154"/>
        <v>0.96666666666666667</v>
      </c>
      <c r="HX15" s="278">
        <f t="shared" si="155"/>
        <v>0.86711087183133317</v>
      </c>
      <c r="HY15" s="278">
        <f t="shared" si="156"/>
        <v>0.05</v>
      </c>
      <c r="HZ15" s="64">
        <f t="shared" si="157"/>
        <v>2.4634690434782581E-3</v>
      </c>
      <c r="IA15" s="64">
        <f t="shared" si="158"/>
        <v>2.4010274509803912E-2</v>
      </c>
      <c r="IB15" s="64">
        <f t="shared" si="159"/>
        <v>4.0875912408759096E-2</v>
      </c>
      <c r="IC15" s="64">
        <f t="shared" si="160"/>
        <v>1.7396593673965954E-2</v>
      </c>
      <c r="ID15" s="64">
        <f t="shared" si="161"/>
        <v>8.3941605839416011E-3</v>
      </c>
      <c r="IE15" s="64">
        <f t="shared" si="162"/>
        <v>0</v>
      </c>
      <c r="IF15" s="64">
        <f t="shared" si="163"/>
        <v>8.6538461538465672E-4</v>
      </c>
      <c r="IG15" s="64">
        <f t="shared" si="164"/>
        <v>7.5000000000002842E-4</v>
      </c>
      <c r="IH15" s="280">
        <f t="shared" si="165"/>
        <v>4.8000000000000265E-3</v>
      </c>
      <c r="II15" s="64"/>
      <c r="IJ15" s="89">
        <v>2025</v>
      </c>
      <c r="IK15" s="278">
        <f t="shared" si="166"/>
        <v>0.96666666666666667</v>
      </c>
      <c r="IM15" s="278">
        <f t="shared" si="167"/>
        <v>0.86863167420814469</v>
      </c>
      <c r="IN15" s="278">
        <f t="shared" si="168"/>
        <v>0.05</v>
      </c>
      <c r="IO15" s="64">
        <v>0</v>
      </c>
      <c r="IP15" s="64">
        <f t="shared" si="169"/>
        <v>2.4952941176470577E-2</v>
      </c>
      <c r="IQ15" s="64">
        <f t="shared" si="50"/>
        <v>4.0875912408759096E-2</v>
      </c>
      <c r="IR15" s="64">
        <f t="shared" si="51"/>
        <v>1.7396593673965954E-2</v>
      </c>
      <c r="IS15" s="64">
        <f t="shared" si="52"/>
        <v>8.3941605839416011E-3</v>
      </c>
      <c r="IT15" s="64">
        <f t="shared" si="53"/>
        <v>0</v>
      </c>
      <c r="IU15" s="64">
        <f t="shared" si="54"/>
        <v>8.6538461538465672E-4</v>
      </c>
      <c r="IV15" s="64">
        <f t="shared" si="55"/>
        <v>7.5000000000002842E-4</v>
      </c>
      <c r="IW15" s="280">
        <f t="shared" si="56"/>
        <v>4.8000000000000265E-3</v>
      </c>
      <c r="IX15" s="3">
        <f t="shared" si="170"/>
        <v>0.80733918128655002</v>
      </c>
      <c r="IY15">
        <f t="shared" si="57"/>
        <v>2025</v>
      </c>
      <c r="IZ15" s="3">
        <f t="shared" si="171"/>
        <v>5.4583757918552038</v>
      </c>
      <c r="JA15" s="353">
        <f>HLOOKUP(JA$3,'Main calculations'!JG$8:JS$39,8,FALSE)</f>
        <v>5.7203803662976211</v>
      </c>
      <c r="JB15" s="3">
        <f t="shared" si="172"/>
        <v>5.75</v>
      </c>
      <c r="JC15" s="353">
        <f t="shared" si="173"/>
        <v>6.052631578947369</v>
      </c>
      <c r="JD15" s="368">
        <f t="shared" si="174"/>
        <v>5.2730116959064324</v>
      </c>
      <c r="JE15" s="369">
        <f t="shared" si="175"/>
        <v>5.5505386272699289</v>
      </c>
      <c r="JF15" s="363">
        <f t="shared" si="176"/>
        <v>5.4283240703479567</v>
      </c>
      <c r="JG15" s="362">
        <f t="shared" si="58"/>
        <v>5.7140253372083754</v>
      </c>
      <c r="JH15" s="366">
        <f t="shared" si="59"/>
        <v>5.4343613479827395</v>
      </c>
      <c r="JI15" s="367">
        <f t="shared" si="9"/>
        <v>5.7203803662976211</v>
      </c>
      <c r="JJ15" s="363">
        <f t="shared" si="60"/>
        <v>5.4403986256175223</v>
      </c>
      <c r="JK15" s="362">
        <f t="shared" si="61"/>
        <v>5.726735395386866</v>
      </c>
      <c r="JL15" s="366">
        <f t="shared" si="177"/>
        <v>5.4464359032523042</v>
      </c>
      <c r="JM15" s="367">
        <f t="shared" si="62"/>
        <v>5.7330904244761101</v>
      </c>
      <c r="JN15" s="363">
        <f t="shared" si="178"/>
        <v>5.452473180887087</v>
      </c>
      <c r="JO15" s="362">
        <f t="shared" si="63"/>
        <v>5.739445453565355</v>
      </c>
      <c r="JP15" s="366">
        <f t="shared" si="179"/>
        <v>5.455424486371145</v>
      </c>
      <c r="JQ15" s="367">
        <f t="shared" si="64"/>
        <v>5.7425520909169947</v>
      </c>
      <c r="JR15" s="363">
        <f t="shared" si="180"/>
        <v>5.4583757918552038</v>
      </c>
      <c r="JS15" s="362">
        <f t="shared" si="65"/>
        <v>5.7456587282686362</v>
      </c>
    </row>
    <row r="16" spans="1:279">
      <c r="A16" s="259">
        <f>'1 StrategyMix for CarbonTargets'!V17</f>
        <v>0.2</v>
      </c>
      <c r="B16" s="247"/>
      <c r="C16" s="247"/>
      <c r="D16" s="247"/>
      <c r="E16" s="293"/>
      <c r="F16" s="293"/>
      <c r="G16" s="293"/>
      <c r="H16" s="297" cm="1">
        <f t="array" ref="H16">INDEX(WfH!G9:G53,MATCH(1,(A11=WfH!A9:A53)*(A16=WfH!B9:B53),0))</f>
        <v>3.3600000000000005E-2</v>
      </c>
      <c r="I16" s="298" cm="1">
        <f t="array" ref="I16">INDEX(WfH!I9:I53,MATCH(1,(A11=WfH!A9:A53)*(A16=WfH!B9:B53),0))</f>
        <v>3.1199999999999999E-2</v>
      </c>
      <c r="J16" s="299" cm="1">
        <f t="array" ref="J16">INDEX(WfH!H9:H53,MATCH(1,(A11=WfH!A9:A53)*(A16=WfH!B9:B53),0))</f>
        <v>2.8799999999999999E-2</v>
      </c>
      <c r="K16" s="5"/>
      <c r="AO16" s="89">
        <v>2026</v>
      </c>
      <c r="AP16" s="170">
        <f t="shared" si="181"/>
        <v>-5.7600000000000004E-3</v>
      </c>
      <c r="AQ16" s="170">
        <f t="shared" si="182"/>
        <v>-1.0000000000000002E-3</v>
      </c>
      <c r="AR16" s="170">
        <f t="shared" si="183"/>
        <v>-1.7307692307692306E-3</v>
      </c>
      <c r="AS16" s="170">
        <f t="shared" si="184"/>
        <v>0</v>
      </c>
      <c r="AU16" s="170">
        <f t="shared" si="185"/>
        <v>-1.007299270072993E-2</v>
      </c>
      <c r="AV16" s="170">
        <f t="shared" si="186"/>
        <v>-2.0875912408759124E-2</v>
      </c>
      <c r="AW16" s="170">
        <f t="shared" si="187"/>
        <v>-4.9051094890510946E-2</v>
      </c>
      <c r="AY16" s="170">
        <f t="shared" si="188"/>
        <v>-2.9943529411764692E-2</v>
      </c>
      <c r="AZ16" s="278">
        <f t="shared" si="189"/>
        <v>1.2568888888888883E-3</v>
      </c>
      <c r="BA16" s="284">
        <f t="shared" si="190"/>
        <v>-2.3624472626086933E-2</v>
      </c>
      <c r="BB16" s="276">
        <f t="shared" si="191"/>
        <v>-5.5421071304347794E-3</v>
      </c>
      <c r="BC16" s="277">
        <f t="shared" si="192"/>
        <v>-3.3749246608695618E-3</v>
      </c>
      <c r="BD16" s="278">
        <f t="shared" si="193"/>
        <v>1.2568888888888883E-3</v>
      </c>
      <c r="BE16" s="284">
        <f t="shared" si="194"/>
        <v>-2.3624472626086974E-2</v>
      </c>
      <c r="BF16" s="276">
        <f t="shared" si="195"/>
        <v>-5.5421071304347794E-3</v>
      </c>
      <c r="BG16" s="277">
        <f t="shared" si="196"/>
        <v>-3.3749246608695679E-3</v>
      </c>
      <c r="BH16" s="278">
        <f t="shared" si="197"/>
        <v>2.4239999999999991E-3</v>
      </c>
      <c r="BI16" s="284">
        <f t="shared" si="198"/>
        <v>-4.7248945252173935E-2</v>
      </c>
      <c r="BJ16" s="276">
        <f t="shared" si="199"/>
        <v>-1.1084214260869574E-2</v>
      </c>
      <c r="BK16" s="277">
        <f t="shared" si="200"/>
        <v>-6.7498493217391332E-3</v>
      </c>
      <c r="BL16" s="278">
        <f t="shared" si="201"/>
        <v>2.4239999999999991E-3</v>
      </c>
      <c r="BM16" s="284">
        <f t="shared" si="202"/>
        <v>-4.7248945252173893E-2</v>
      </c>
      <c r="BN16" s="276">
        <f t="shared" si="203"/>
        <v>-1.1084214260869555E-2</v>
      </c>
      <c r="BO16" s="277">
        <f t="shared" si="204"/>
        <v>-6.7498493217391271E-3</v>
      </c>
      <c r="BP16" s="278">
        <f t="shared" si="205"/>
        <v>2.4239999999999991E-3</v>
      </c>
      <c r="BQ16" s="284">
        <f t="shared" si="206"/>
        <v>-4.7248945252173949E-2</v>
      </c>
      <c r="BR16" s="276">
        <f t="shared" si="207"/>
        <v>-1.1084214260869571E-2</v>
      </c>
      <c r="BS16" s="277">
        <f t="shared" si="208"/>
        <v>-6.7498493217391358E-3</v>
      </c>
      <c r="BT16" s="278">
        <f t="shared" si="209"/>
        <v>2.4239999999999991E-3</v>
      </c>
      <c r="BU16" s="284">
        <f t="shared" si="210"/>
        <v>-4.7248945252173893E-2</v>
      </c>
      <c r="BV16" s="276">
        <f t="shared" si="211"/>
        <v>-1.1084214260869562E-2</v>
      </c>
      <c r="BW16" s="278">
        <f t="shared" si="212"/>
        <v>-6.7498493217391271E-3</v>
      </c>
      <c r="BX16" s="391">
        <f t="shared" si="66"/>
        <v>-2.015775163398692E-2</v>
      </c>
      <c r="BY16" s="392">
        <f t="shared" si="67"/>
        <v>-2.6999397286956529E-2</v>
      </c>
      <c r="BZ16" s="278"/>
      <c r="CB16" s="279">
        <f t="shared" si="16"/>
        <v>-0.11843429864253392</v>
      </c>
      <c r="CC16" s="64">
        <f t="shared" si="17"/>
        <v>-0.1205523344145146</v>
      </c>
      <c r="CD16" s="64">
        <f t="shared" si="18"/>
        <v>-0.12267037018649528</v>
      </c>
      <c r="CE16" s="64">
        <f t="shared" si="19"/>
        <v>-0.12699621950823442</v>
      </c>
      <c r="CF16" s="64">
        <f t="shared" si="20"/>
        <v>-0.13132206882997355</v>
      </c>
      <c r="CG16" s="64">
        <f t="shared" si="21"/>
        <v>-0.13564791815171268</v>
      </c>
      <c r="CH16" s="64">
        <f t="shared" si="22"/>
        <v>-0.1399737674734518</v>
      </c>
      <c r="CI16">
        <v>2026</v>
      </c>
      <c r="CJ16" s="240"/>
      <c r="CL16">
        <v>2026</v>
      </c>
      <c r="CM16" s="3">
        <f t="shared" si="68"/>
        <v>0.95</v>
      </c>
      <c r="CN16" s="64">
        <f t="shared" si="23"/>
        <v>0.94423999999999997</v>
      </c>
      <c r="CO16" s="64">
        <f t="shared" si="24"/>
        <v>0.94323999999999997</v>
      </c>
      <c r="CP16" s="64">
        <f t="shared" si="25"/>
        <v>0.94150923076923076</v>
      </c>
      <c r="CQ16" s="64">
        <f t="shared" si="26"/>
        <v>0.94150923076923076</v>
      </c>
      <c r="CR16" s="64">
        <f t="shared" si="27"/>
        <v>0.93143623806850084</v>
      </c>
      <c r="CS16" s="64">
        <f t="shared" si="28"/>
        <v>0.91056032565974176</v>
      </c>
      <c r="CT16" s="64">
        <f t="shared" si="29"/>
        <v>0.8615092307692308</v>
      </c>
      <c r="CU16" s="64">
        <f t="shared" si="30"/>
        <v>0.8315657013574661</v>
      </c>
      <c r="CV16" s="64">
        <f t="shared" si="31"/>
        <v>0.83282259024635497</v>
      </c>
      <c r="CW16" s="65">
        <f t="shared" si="69"/>
        <v>0.82944766558548544</v>
      </c>
      <c r="CX16" s="64">
        <f t="shared" si="70"/>
        <v>0.83407947913524383</v>
      </c>
      <c r="CY16" s="65">
        <f t="shared" si="71"/>
        <v>0.82732962981350477</v>
      </c>
      <c r="CZ16" s="64">
        <f t="shared" si="72"/>
        <v>0.83650347913524381</v>
      </c>
      <c r="DA16" s="65">
        <f t="shared" si="73"/>
        <v>0.82300378049176559</v>
      </c>
      <c r="DB16" s="64">
        <f t="shared" si="74"/>
        <v>0.83892747913524379</v>
      </c>
      <c r="DC16" s="65">
        <f t="shared" si="75"/>
        <v>0.81867793117002641</v>
      </c>
      <c r="DD16" s="64">
        <f t="shared" si="76"/>
        <v>0.84135147913524377</v>
      </c>
      <c r="DE16" s="65">
        <f t="shared" si="77"/>
        <v>0.81435208184828722</v>
      </c>
      <c r="DF16" s="64">
        <f t="shared" si="78"/>
        <v>0.84377547913524376</v>
      </c>
      <c r="DG16" s="65">
        <f t="shared" si="79"/>
        <v>0.81002623252654804</v>
      </c>
      <c r="DL16">
        <v>2026</v>
      </c>
      <c r="DM16" s="64">
        <f t="shared" si="80"/>
        <v>0.81002623252654804</v>
      </c>
      <c r="DN16" s="64">
        <f t="shared" si="81"/>
        <v>0.81435208184828722</v>
      </c>
      <c r="DO16" s="64">
        <f t="shared" si="82"/>
        <v>0.81867793117002641</v>
      </c>
      <c r="DP16" s="64">
        <f t="shared" si="83"/>
        <v>0.82300378049176559</v>
      </c>
      <c r="DQ16" s="64">
        <f t="shared" si="84"/>
        <v>0.82732962981350477</v>
      </c>
      <c r="DR16" s="64">
        <f t="shared" si="85"/>
        <v>0.82944766558548544</v>
      </c>
      <c r="DS16" s="64">
        <f t="shared" si="32"/>
        <v>0.8315657013574661</v>
      </c>
      <c r="DT16" s="64">
        <f t="shared" si="33"/>
        <v>0.8615092307692308</v>
      </c>
      <c r="DU16" s="64">
        <f t="shared" si="34"/>
        <v>0.91056032565974176</v>
      </c>
      <c r="DV16" s="64">
        <f t="shared" si="35"/>
        <v>0.93143623806850084</v>
      </c>
      <c r="DW16" s="64">
        <f t="shared" si="36"/>
        <v>0.94150923076923076</v>
      </c>
      <c r="DX16" s="64">
        <f t="shared" si="37"/>
        <v>0.94150923076923076</v>
      </c>
      <c r="DY16" s="64">
        <f t="shared" si="38"/>
        <v>0.94323999999999997</v>
      </c>
      <c r="DZ16" s="64">
        <f t="shared" si="39"/>
        <v>0.94423999999999997</v>
      </c>
      <c r="EA16" s="3">
        <f t="shared" si="86"/>
        <v>0.95</v>
      </c>
      <c r="EB16">
        <v>2026</v>
      </c>
      <c r="EC16" s="269">
        <f t="shared" si="87"/>
        <v>0.81002623252654815</v>
      </c>
      <c r="ED16" s="269">
        <f t="shared" si="88"/>
        <v>0.05</v>
      </c>
      <c r="EE16" s="64">
        <f t="shared" si="89"/>
        <v>4.3258493217391836E-3</v>
      </c>
      <c r="EF16" s="64">
        <f t="shared" si="90"/>
        <v>4.3258493217391836E-3</v>
      </c>
      <c r="EG16" s="64">
        <f t="shared" si="91"/>
        <v>4.3258493217391836E-3</v>
      </c>
      <c r="EH16" s="64">
        <f t="shared" si="92"/>
        <v>4.3258493217391836E-3</v>
      </c>
      <c r="EI16" s="64">
        <f t="shared" si="93"/>
        <v>2.1180357719806642E-3</v>
      </c>
      <c r="EJ16" s="64">
        <f t="shared" si="94"/>
        <v>2.1180357719806642E-3</v>
      </c>
      <c r="EK16" s="64">
        <f t="shared" si="95"/>
        <v>2.9943529411764702E-2</v>
      </c>
      <c r="EL16" s="64">
        <f t="shared" si="96"/>
        <v>4.905109489051096E-2</v>
      </c>
      <c r="EM16" s="64">
        <f t="shared" si="97"/>
        <v>2.0875912408759079E-2</v>
      </c>
      <c r="EN16" s="64">
        <f t="shared" si="98"/>
        <v>1.0072992700729921E-2</v>
      </c>
      <c r="EO16" s="64">
        <f t="shared" si="99"/>
        <v>0</v>
      </c>
      <c r="EP16" s="64">
        <f t="shared" si="100"/>
        <v>1.7307692307692024E-3</v>
      </c>
      <c r="EQ16" s="64">
        <f t="shared" si="101"/>
        <v>1.0000000000000009E-3</v>
      </c>
      <c r="ER16" s="64">
        <f t="shared" si="102"/>
        <v>5.7599999999999874E-3</v>
      </c>
      <c r="EX16" s="89">
        <v>2026</v>
      </c>
      <c r="EY16" s="278">
        <f t="shared" si="103"/>
        <v>0.97</v>
      </c>
      <c r="EZ16" s="278"/>
      <c r="FA16" s="278">
        <f t="shared" si="104"/>
        <v>0.83002623252654817</v>
      </c>
      <c r="FB16" s="278">
        <f t="shared" si="41"/>
        <v>0.05</v>
      </c>
      <c r="FC16" s="64">
        <f t="shared" si="42"/>
        <v>3.374924660869566E-2</v>
      </c>
      <c r="FD16" s="64">
        <f t="shared" si="105"/>
        <v>1.7733751633986921E-2</v>
      </c>
      <c r="FE16" s="64">
        <f t="shared" si="106"/>
        <v>4.905109489051096E-2</v>
      </c>
      <c r="FF16" s="64">
        <f t="shared" si="107"/>
        <v>2.0875912408759079E-2</v>
      </c>
      <c r="FG16" s="64">
        <f t="shared" si="108"/>
        <v>1.0072992700729921E-2</v>
      </c>
      <c r="FH16" s="64">
        <f t="shared" si="109"/>
        <v>0</v>
      </c>
      <c r="FI16" s="64">
        <f t="shared" si="110"/>
        <v>1.7307692307692024E-3</v>
      </c>
      <c r="FJ16" s="64">
        <f t="shared" si="111"/>
        <v>1.0000000000000009E-3</v>
      </c>
      <c r="FK16" s="280">
        <f t="shared" si="112"/>
        <v>5.7599999999999874E-3</v>
      </c>
      <c r="FL16" s="64"/>
      <c r="FM16" s="89">
        <v>2026</v>
      </c>
      <c r="FN16" s="278">
        <f t="shared" si="113"/>
        <v>0.97</v>
      </c>
      <c r="FP16" s="278">
        <f t="shared" si="114"/>
        <v>0.83435208184828735</v>
      </c>
      <c r="FQ16" s="278">
        <f t="shared" si="115"/>
        <v>0.05</v>
      </c>
      <c r="FR16" s="64">
        <f t="shared" si="116"/>
        <v>2.6999397286956529E-2</v>
      </c>
      <c r="FS16" s="64">
        <f t="shared" si="117"/>
        <v>2.015775163398692E-2</v>
      </c>
      <c r="FT16" s="64">
        <f t="shared" si="118"/>
        <v>4.905109489051096E-2</v>
      </c>
      <c r="FU16" s="64">
        <f t="shared" si="119"/>
        <v>2.0875912408759079E-2</v>
      </c>
      <c r="FV16" s="64">
        <f t="shared" si="120"/>
        <v>1.0072992700729921E-2</v>
      </c>
      <c r="FW16" s="64">
        <f t="shared" si="121"/>
        <v>0</v>
      </c>
      <c r="FX16" s="64">
        <f t="shared" si="122"/>
        <v>1.7307692307692024E-3</v>
      </c>
      <c r="FY16" s="64">
        <f t="shared" si="123"/>
        <v>1.0000000000000009E-3</v>
      </c>
      <c r="FZ16" s="280">
        <f t="shared" si="124"/>
        <v>5.7599999999999874E-3</v>
      </c>
      <c r="GA16" s="64"/>
      <c r="GB16" s="89">
        <v>2026</v>
      </c>
      <c r="GC16" s="278">
        <f t="shared" si="125"/>
        <v>0.97</v>
      </c>
      <c r="GE16" s="278">
        <f t="shared" si="126"/>
        <v>0.83867793117002654</v>
      </c>
      <c r="GF16" s="278">
        <f t="shared" si="127"/>
        <v>0.05</v>
      </c>
      <c r="GG16" s="64">
        <f t="shared" si="128"/>
        <v>2.0249547965217392E-2</v>
      </c>
      <c r="GH16" s="64">
        <f t="shared" si="129"/>
        <v>2.2581751633986919E-2</v>
      </c>
      <c r="GI16" s="64">
        <f t="shared" si="130"/>
        <v>4.905109489051096E-2</v>
      </c>
      <c r="GJ16" s="64">
        <f t="shared" si="131"/>
        <v>2.0875912408759079E-2</v>
      </c>
      <c r="GK16" s="64">
        <f t="shared" si="132"/>
        <v>1.0072992700729921E-2</v>
      </c>
      <c r="GL16" s="64">
        <f t="shared" si="133"/>
        <v>0</v>
      </c>
      <c r="GM16" s="64">
        <f t="shared" si="134"/>
        <v>1.7307692307692024E-3</v>
      </c>
      <c r="GN16" s="64">
        <f t="shared" si="135"/>
        <v>1.0000000000000009E-3</v>
      </c>
      <c r="GO16" s="280">
        <f t="shared" si="136"/>
        <v>5.7599999999999874E-3</v>
      </c>
      <c r="GP16" s="64"/>
      <c r="GQ16" s="89">
        <v>2026</v>
      </c>
      <c r="GR16" s="278">
        <f t="shared" si="137"/>
        <v>0.97</v>
      </c>
      <c r="GT16" s="278">
        <f t="shared" si="138"/>
        <v>0.84300378049176561</v>
      </c>
      <c r="GU16" s="278">
        <f t="shared" si="139"/>
        <v>0.05</v>
      </c>
      <c r="GV16" s="64">
        <f t="shared" si="140"/>
        <v>1.3499698643478263E-2</v>
      </c>
      <c r="GW16" s="64">
        <f t="shared" si="141"/>
        <v>2.5005751633986918E-2</v>
      </c>
      <c r="GX16" s="64">
        <f t="shared" si="43"/>
        <v>4.905109489051096E-2</v>
      </c>
      <c r="GY16" s="64">
        <f t="shared" si="44"/>
        <v>2.0875912408759079E-2</v>
      </c>
      <c r="GZ16" s="64">
        <f t="shared" si="45"/>
        <v>1.0072992700729921E-2</v>
      </c>
      <c r="HA16" s="64">
        <f t="shared" si="46"/>
        <v>0</v>
      </c>
      <c r="HB16" s="64">
        <f t="shared" si="47"/>
        <v>1.7307692307692024E-3</v>
      </c>
      <c r="HC16" s="64">
        <f t="shared" si="48"/>
        <v>1.0000000000000009E-3</v>
      </c>
      <c r="HD16" s="280">
        <f t="shared" si="49"/>
        <v>5.7599999999999874E-3</v>
      </c>
      <c r="HE16" s="64"/>
      <c r="HF16" s="89">
        <v>2026</v>
      </c>
      <c r="HG16" s="278">
        <f t="shared" si="142"/>
        <v>0.97</v>
      </c>
      <c r="HI16" s="278">
        <f t="shared" si="143"/>
        <v>0.84732962981350479</v>
      </c>
      <c r="HJ16" s="278">
        <f t="shared" si="144"/>
        <v>0.05</v>
      </c>
      <c r="HK16" s="64">
        <f t="shared" si="145"/>
        <v>6.7498493217391297E-3</v>
      </c>
      <c r="HL16" s="64">
        <f t="shared" si="146"/>
        <v>2.7429751633986917E-2</v>
      </c>
      <c r="HM16" s="64">
        <f t="shared" si="147"/>
        <v>4.905109489051096E-2</v>
      </c>
      <c r="HN16" s="64">
        <f t="shared" si="148"/>
        <v>2.0875912408759079E-2</v>
      </c>
      <c r="HO16" s="64">
        <f t="shared" si="149"/>
        <v>1.0072992700729921E-2</v>
      </c>
      <c r="HP16" s="64">
        <f t="shared" si="150"/>
        <v>0</v>
      </c>
      <c r="HQ16" s="64">
        <f t="shared" si="151"/>
        <v>1.7307692307692024E-3</v>
      </c>
      <c r="HR16" s="64">
        <f t="shared" si="152"/>
        <v>1.0000000000000009E-3</v>
      </c>
      <c r="HS16" s="280">
        <f t="shared" si="153"/>
        <v>5.7599999999999874E-3</v>
      </c>
      <c r="HT16" s="64"/>
      <c r="HU16" s="89">
        <v>2026</v>
      </c>
      <c r="HV16" s="278">
        <f t="shared" si="154"/>
        <v>0.97</v>
      </c>
      <c r="HX16" s="278">
        <f t="shared" si="155"/>
        <v>0.84944766558548546</v>
      </c>
      <c r="HY16" s="278">
        <f t="shared" si="156"/>
        <v>0.05</v>
      </c>
      <c r="HZ16" s="64">
        <f t="shared" si="157"/>
        <v>3.3749246608695618E-3</v>
      </c>
      <c r="IA16" s="64">
        <f t="shared" si="158"/>
        <v>2.8686640522875805E-2</v>
      </c>
      <c r="IB16" s="64">
        <f t="shared" si="159"/>
        <v>4.905109489051096E-2</v>
      </c>
      <c r="IC16" s="64">
        <f t="shared" si="160"/>
        <v>2.0875912408759079E-2</v>
      </c>
      <c r="ID16" s="64">
        <f t="shared" si="161"/>
        <v>1.0072992700729921E-2</v>
      </c>
      <c r="IE16" s="64">
        <f t="shared" si="162"/>
        <v>0</v>
      </c>
      <c r="IF16" s="64">
        <f t="shared" si="163"/>
        <v>1.7307692307692024E-3</v>
      </c>
      <c r="IG16" s="64">
        <f t="shared" si="164"/>
        <v>1.0000000000000009E-3</v>
      </c>
      <c r="IH16" s="280">
        <f t="shared" si="165"/>
        <v>5.7599999999999874E-3</v>
      </c>
      <c r="II16" s="64"/>
      <c r="IJ16" s="89">
        <v>2026</v>
      </c>
      <c r="IK16" s="278">
        <f t="shared" si="166"/>
        <v>0.97</v>
      </c>
      <c r="IM16" s="278">
        <f t="shared" si="167"/>
        <v>0.85156570135746612</v>
      </c>
      <c r="IN16" s="278">
        <f t="shared" si="168"/>
        <v>0.05</v>
      </c>
      <c r="IO16" s="64">
        <v>0</v>
      </c>
      <c r="IP16" s="64">
        <f t="shared" si="169"/>
        <v>2.9943529411764692E-2</v>
      </c>
      <c r="IQ16" s="64">
        <f t="shared" si="50"/>
        <v>4.905109489051096E-2</v>
      </c>
      <c r="IR16" s="64">
        <f t="shared" si="51"/>
        <v>2.0875912408759079E-2</v>
      </c>
      <c r="IS16" s="64">
        <f t="shared" si="52"/>
        <v>1.0072992700729921E-2</v>
      </c>
      <c r="IT16" s="64">
        <f t="shared" si="53"/>
        <v>0</v>
      </c>
      <c r="IU16" s="64">
        <f t="shared" si="54"/>
        <v>1.7307692307692024E-3</v>
      </c>
      <c r="IV16" s="64">
        <f t="shared" si="55"/>
        <v>1.0000000000000009E-3</v>
      </c>
      <c r="IW16" s="280">
        <f t="shared" si="56"/>
        <v>5.7599999999999874E-3</v>
      </c>
      <c r="IX16" s="3">
        <f t="shared" si="170"/>
        <v>0.77850877192982448</v>
      </c>
      <c r="IY16">
        <f t="shared" si="57"/>
        <v>2026</v>
      </c>
      <c r="IZ16" s="3">
        <f t="shared" si="171"/>
        <v>6.3099414932126701</v>
      </c>
      <c r="JA16" s="353">
        <f>HLOOKUP(JA$3,'Main calculations'!JG$8:JS$39,9,FALSE)</f>
        <v>6.5986457156116076</v>
      </c>
      <c r="JB16" s="3">
        <f t="shared" si="172"/>
        <v>6.72</v>
      </c>
      <c r="JC16" s="353">
        <f t="shared" si="173"/>
        <v>7.0736842105263156</v>
      </c>
      <c r="JD16" s="368">
        <f t="shared" si="174"/>
        <v>6.0515204678362569</v>
      </c>
      <c r="JE16" s="369">
        <f t="shared" si="175"/>
        <v>6.3700215450907969</v>
      </c>
      <c r="JF16" s="363">
        <f t="shared" si="176"/>
        <v>6.2583503028745051</v>
      </c>
      <c r="JG16" s="362">
        <f t="shared" si="58"/>
        <v>6.5877371609205317</v>
      </c>
      <c r="JH16" s="366">
        <f t="shared" si="59"/>
        <v>6.2687134298310268</v>
      </c>
      <c r="JI16" s="367">
        <f t="shared" si="9"/>
        <v>6.5986457156116076</v>
      </c>
      <c r="JJ16" s="363">
        <f t="shared" si="60"/>
        <v>6.2790765567875493</v>
      </c>
      <c r="JK16" s="362">
        <f t="shared" si="61"/>
        <v>6.6095542703026835</v>
      </c>
      <c r="JL16" s="366">
        <f t="shared" si="177"/>
        <v>6.28943968374407</v>
      </c>
      <c r="JM16" s="367">
        <f t="shared" si="62"/>
        <v>6.6204628249937585</v>
      </c>
      <c r="JN16" s="363">
        <f t="shared" si="178"/>
        <v>6.2998028107005917</v>
      </c>
      <c r="JO16" s="362">
        <f t="shared" si="63"/>
        <v>6.6313713796848335</v>
      </c>
      <c r="JP16" s="366">
        <f t="shared" si="179"/>
        <v>6.30487215195663</v>
      </c>
      <c r="JQ16" s="367">
        <f t="shared" si="64"/>
        <v>6.6367075283754007</v>
      </c>
      <c r="JR16" s="363">
        <f t="shared" si="180"/>
        <v>6.3099414932126701</v>
      </c>
      <c r="JS16" s="362">
        <f t="shared" si="65"/>
        <v>6.6420436770659688</v>
      </c>
    </row>
    <row r="17" spans="1:281">
      <c r="A17" s="247"/>
      <c r="B17" s="247"/>
      <c r="C17" s="247"/>
      <c r="D17" s="247"/>
      <c r="E17" s="247"/>
      <c r="F17" s="247"/>
      <c r="H17" s="300"/>
      <c r="J17" s="301"/>
      <c r="AO17" s="89">
        <v>2027</v>
      </c>
      <c r="AP17" s="170">
        <f t="shared" si="181"/>
        <v>-6.7200000000000003E-3</v>
      </c>
      <c r="AQ17" s="170">
        <f t="shared" si="182"/>
        <v>-1.2500000000000002E-3</v>
      </c>
      <c r="AR17" s="170">
        <f t="shared" si="183"/>
        <v>-2.5961538461538461E-3</v>
      </c>
      <c r="AS17" s="170">
        <f t="shared" si="184"/>
        <v>0</v>
      </c>
      <c r="AU17" s="170">
        <f t="shared" si="185"/>
        <v>-1.1751824817518252E-2</v>
      </c>
      <c r="AV17" s="170">
        <f t="shared" si="186"/>
        <v>-2.435523114355231E-2</v>
      </c>
      <c r="AW17" s="170">
        <f t="shared" si="187"/>
        <v>-5.7226277372262768E-2</v>
      </c>
      <c r="AY17" s="170">
        <f t="shared" si="188"/>
        <v>-3.493411764705881E-2</v>
      </c>
      <c r="AZ17" s="278">
        <f t="shared" si="189"/>
        <v>1.5711111111111104E-3</v>
      </c>
      <c r="BA17" s="284">
        <f t="shared" si="190"/>
        <v>-2.4256567513043455E-2</v>
      </c>
      <c r="BB17" s="276">
        <f t="shared" si="191"/>
        <v>-6.927633913043474E-3</v>
      </c>
      <c r="BC17" s="277">
        <f t="shared" si="192"/>
        <v>-4.3315299130434739E-3</v>
      </c>
      <c r="BD17" s="278">
        <f t="shared" si="193"/>
        <v>1.5711111111111104E-3</v>
      </c>
      <c r="BE17" s="284">
        <f t="shared" si="194"/>
        <v>-2.4256567513043496E-2</v>
      </c>
      <c r="BF17" s="276">
        <f t="shared" si="195"/>
        <v>-6.927633913043474E-3</v>
      </c>
      <c r="BG17" s="277">
        <f t="shared" si="196"/>
        <v>-4.3315299130434817E-3</v>
      </c>
      <c r="BH17" s="278">
        <f t="shared" si="197"/>
        <v>3.0299999999999988E-3</v>
      </c>
      <c r="BI17" s="284">
        <f t="shared" si="198"/>
        <v>-4.8513135026086979E-2</v>
      </c>
      <c r="BJ17" s="276">
        <f t="shared" si="199"/>
        <v>-1.3855267826086967E-2</v>
      </c>
      <c r="BK17" s="277">
        <f t="shared" si="200"/>
        <v>-8.66305982608696E-3</v>
      </c>
      <c r="BL17" s="278">
        <f t="shared" si="201"/>
        <v>3.0299999999999988E-3</v>
      </c>
      <c r="BM17" s="284">
        <f t="shared" si="202"/>
        <v>-4.8513135026086937E-2</v>
      </c>
      <c r="BN17" s="276">
        <f t="shared" si="203"/>
        <v>-1.3855267826086945E-2</v>
      </c>
      <c r="BO17" s="277">
        <f t="shared" si="204"/>
        <v>-8.663059826086953E-3</v>
      </c>
      <c r="BP17" s="278">
        <f t="shared" si="205"/>
        <v>3.0299999999999988E-3</v>
      </c>
      <c r="BQ17" s="284">
        <f t="shared" si="206"/>
        <v>-4.8513135026086993E-2</v>
      </c>
      <c r="BR17" s="276">
        <f t="shared" si="207"/>
        <v>-1.3855267826086964E-2</v>
      </c>
      <c r="BS17" s="277">
        <f t="shared" si="208"/>
        <v>-8.6630598260869635E-3</v>
      </c>
      <c r="BT17" s="278">
        <f t="shared" si="209"/>
        <v>3.0299999999999988E-3</v>
      </c>
      <c r="BU17" s="284">
        <f t="shared" si="210"/>
        <v>-4.8513135026086937E-2</v>
      </c>
      <c r="BV17" s="276">
        <f t="shared" si="211"/>
        <v>-1.3855267826086953E-2</v>
      </c>
      <c r="BW17" s="278">
        <f t="shared" si="212"/>
        <v>-8.663059826086953E-3</v>
      </c>
      <c r="BX17" s="391">
        <f t="shared" si="66"/>
        <v>-2.2701895424836589E-2</v>
      </c>
      <c r="BY17" s="392">
        <f t="shared" si="67"/>
        <v>-3.4652239304347833E-2</v>
      </c>
      <c r="BZ17" s="278"/>
      <c r="CB17" s="279">
        <f t="shared" si="16"/>
        <v>-0.138833604826546</v>
      </c>
      <c r="CC17" s="64">
        <f t="shared" si="17"/>
        <v>-0.14159402362847837</v>
      </c>
      <c r="CD17" s="64">
        <f t="shared" si="18"/>
        <v>-0.14435444243041073</v>
      </c>
      <c r="CE17" s="64">
        <f t="shared" si="19"/>
        <v>-0.14998750225649768</v>
      </c>
      <c r="CF17" s="64">
        <f t="shared" si="20"/>
        <v>-0.15562056208258462</v>
      </c>
      <c r="CG17" s="64">
        <f t="shared" si="21"/>
        <v>-0.1612536219086716</v>
      </c>
      <c r="CH17" s="64">
        <f t="shared" si="22"/>
        <v>-0.16688668173475854</v>
      </c>
      <c r="CI17">
        <v>2027</v>
      </c>
      <c r="CJ17" s="240"/>
      <c r="CL17">
        <v>2027</v>
      </c>
      <c r="CM17" s="3">
        <f t="shared" si="68"/>
        <v>0.95</v>
      </c>
      <c r="CN17" s="64">
        <f t="shared" si="23"/>
        <v>0.94328000000000001</v>
      </c>
      <c r="CO17" s="64">
        <f t="shared" si="24"/>
        <v>0.94203000000000003</v>
      </c>
      <c r="CP17" s="64">
        <f t="shared" si="25"/>
        <v>0.93943384615384617</v>
      </c>
      <c r="CQ17" s="64">
        <f t="shared" si="26"/>
        <v>0.93943384615384617</v>
      </c>
      <c r="CR17" s="64">
        <f t="shared" si="27"/>
        <v>0.92768202133632793</v>
      </c>
      <c r="CS17" s="64">
        <f t="shared" si="28"/>
        <v>0.90332679019277562</v>
      </c>
      <c r="CT17" s="64">
        <f t="shared" si="29"/>
        <v>0.8461005128205128</v>
      </c>
      <c r="CU17" s="64">
        <f t="shared" si="30"/>
        <v>0.81116639517345401</v>
      </c>
      <c r="CV17" s="64">
        <f t="shared" si="31"/>
        <v>0.81273750628456509</v>
      </c>
      <c r="CW17" s="65">
        <f t="shared" si="69"/>
        <v>0.80840597637152167</v>
      </c>
      <c r="CX17" s="64">
        <f t="shared" si="70"/>
        <v>0.81430861739567617</v>
      </c>
      <c r="CY17" s="65">
        <f t="shared" si="71"/>
        <v>0.80564555756958922</v>
      </c>
      <c r="CZ17" s="64">
        <f t="shared" si="72"/>
        <v>0.81733861739567615</v>
      </c>
      <c r="DA17" s="65">
        <f t="shared" si="73"/>
        <v>0.80001249774350225</v>
      </c>
      <c r="DB17" s="64">
        <f t="shared" si="74"/>
        <v>0.82036861739567613</v>
      </c>
      <c r="DC17" s="65">
        <f t="shared" si="75"/>
        <v>0.79437943791741528</v>
      </c>
      <c r="DD17" s="64">
        <f t="shared" si="76"/>
        <v>0.8233986173956761</v>
      </c>
      <c r="DE17" s="65">
        <f t="shared" si="77"/>
        <v>0.7887463780913283</v>
      </c>
      <c r="DF17" s="64">
        <f t="shared" si="78"/>
        <v>0.82642861739567608</v>
      </c>
      <c r="DG17" s="65">
        <f t="shared" si="79"/>
        <v>0.78311331826524133</v>
      </c>
      <c r="DL17">
        <v>2027</v>
      </c>
      <c r="DM17" s="64">
        <f t="shared" si="80"/>
        <v>0.78311331826524133</v>
      </c>
      <c r="DN17" s="64">
        <f t="shared" si="81"/>
        <v>0.7887463780913283</v>
      </c>
      <c r="DO17" s="64">
        <f t="shared" si="82"/>
        <v>0.79437943791741528</v>
      </c>
      <c r="DP17" s="64">
        <f t="shared" si="83"/>
        <v>0.80001249774350225</v>
      </c>
      <c r="DQ17" s="64">
        <f t="shared" si="84"/>
        <v>0.80564555756958922</v>
      </c>
      <c r="DR17" s="64">
        <f t="shared" si="85"/>
        <v>0.80840597637152167</v>
      </c>
      <c r="DS17" s="64">
        <f t="shared" si="32"/>
        <v>0.81116639517345401</v>
      </c>
      <c r="DT17" s="64">
        <f t="shared" si="33"/>
        <v>0.8461005128205128</v>
      </c>
      <c r="DU17" s="64">
        <f t="shared" si="34"/>
        <v>0.90332679019277562</v>
      </c>
      <c r="DV17" s="64">
        <f t="shared" si="35"/>
        <v>0.92768202133632793</v>
      </c>
      <c r="DW17" s="64">
        <f t="shared" si="36"/>
        <v>0.93943384615384617</v>
      </c>
      <c r="DX17" s="64">
        <f t="shared" si="37"/>
        <v>0.93943384615384617</v>
      </c>
      <c r="DY17" s="64">
        <f t="shared" si="38"/>
        <v>0.94203000000000003</v>
      </c>
      <c r="DZ17" s="64">
        <f t="shared" si="39"/>
        <v>0.94328000000000001</v>
      </c>
      <c r="EA17" s="3">
        <f t="shared" si="86"/>
        <v>0.95</v>
      </c>
      <c r="EB17">
        <v>2027</v>
      </c>
      <c r="EC17" s="269">
        <f t="shared" si="87"/>
        <v>0.78311331826524144</v>
      </c>
      <c r="ED17" s="269">
        <f t="shared" si="88"/>
        <v>0.05</v>
      </c>
      <c r="EE17" s="64">
        <f t="shared" si="89"/>
        <v>5.6330598260869724E-3</v>
      </c>
      <c r="EF17" s="64">
        <f t="shared" si="90"/>
        <v>5.6330598260869724E-3</v>
      </c>
      <c r="EG17" s="64">
        <f t="shared" si="91"/>
        <v>5.6330598260869724E-3</v>
      </c>
      <c r="EH17" s="64">
        <f t="shared" si="92"/>
        <v>5.6330598260869724E-3</v>
      </c>
      <c r="EI17" s="64">
        <f t="shared" si="93"/>
        <v>2.7604188019324516E-3</v>
      </c>
      <c r="EJ17" s="64">
        <f t="shared" si="94"/>
        <v>2.7604188019323406E-3</v>
      </c>
      <c r="EK17" s="64">
        <f t="shared" si="95"/>
        <v>3.4934117647058782E-2</v>
      </c>
      <c r="EL17" s="64">
        <f t="shared" si="96"/>
        <v>5.7226277372262824E-2</v>
      </c>
      <c r="EM17" s="64">
        <f t="shared" si="97"/>
        <v>2.4355231143552314E-2</v>
      </c>
      <c r="EN17" s="64">
        <f t="shared" si="98"/>
        <v>1.1751824817518242E-2</v>
      </c>
      <c r="EO17" s="64">
        <f t="shared" si="99"/>
        <v>0</v>
      </c>
      <c r="EP17" s="64">
        <f t="shared" si="100"/>
        <v>2.5961538461538591E-3</v>
      </c>
      <c r="EQ17" s="64">
        <f t="shared" si="101"/>
        <v>1.2499999999999734E-3</v>
      </c>
      <c r="ER17" s="64">
        <f t="shared" si="102"/>
        <v>6.7199999999999482E-3</v>
      </c>
      <c r="EX17" s="89">
        <v>2027</v>
      </c>
      <c r="EY17" s="278">
        <f t="shared" si="103"/>
        <v>0.97333333333333327</v>
      </c>
      <c r="EZ17" s="278"/>
      <c r="FA17" s="278">
        <f t="shared" si="104"/>
        <v>0.80644665159857476</v>
      </c>
      <c r="FB17" s="278">
        <f t="shared" si="41"/>
        <v>0.05</v>
      </c>
      <c r="FC17" s="64">
        <f t="shared" si="42"/>
        <v>4.331529913043479E-2</v>
      </c>
      <c r="FD17" s="64">
        <f t="shared" si="105"/>
        <v>1.9671895424836591E-2</v>
      </c>
      <c r="FE17" s="64">
        <f t="shared" si="106"/>
        <v>5.7226277372262824E-2</v>
      </c>
      <c r="FF17" s="64">
        <f t="shared" si="107"/>
        <v>2.4355231143552314E-2</v>
      </c>
      <c r="FG17" s="64">
        <f t="shared" si="108"/>
        <v>1.1751824817518242E-2</v>
      </c>
      <c r="FH17" s="64">
        <f t="shared" si="109"/>
        <v>0</v>
      </c>
      <c r="FI17" s="64">
        <f t="shared" si="110"/>
        <v>2.5961538461538591E-3</v>
      </c>
      <c r="FJ17" s="64">
        <f t="shared" si="111"/>
        <v>1.2499999999999734E-3</v>
      </c>
      <c r="FK17" s="280">
        <f t="shared" si="112"/>
        <v>6.7199999999999482E-3</v>
      </c>
      <c r="FL17" s="64"/>
      <c r="FM17" s="89">
        <v>2027</v>
      </c>
      <c r="FN17" s="278">
        <f t="shared" si="113"/>
        <v>0.97333333333333327</v>
      </c>
      <c r="FP17" s="278">
        <f t="shared" si="114"/>
        <v>0.81207971142466173</v>
      </c>
      <c r="FQ17" s="278">
        <f t="shared" si="115"/>
        <v>0.05</v>
      </c>
      <c r="FR17" s="64">
        <f t="shared" si="116"/>
        <v>3.4652239304347833E-2</v>
      </c>
      <c r="FS17" s="64">
        <f t="shared" si="117"/>
        <v>2.2701895424836589E-2</v>
      </c>
      <c r="FT17" s="64">
        <f t="shared" si="118"/>
        <v>5.7226277372262824E-2</v>
      </c>
      <c r="FU17" s="64">
        <f t="shared" si="119"/>
        <v>2.4355231143552314E-2</v>
      </c>
      <c r="FV17" s="64">
        <f t="shared" si="120"/>
        <v>1.1751824817518242E-2</v>
      </c>
      <c r="FW17" s="64">
        <f t="shared" si="121"/>
        <v>0</v>
      </c>
      <c r="FX17" s="64">
        <f t="shared" si="122"/>
        <v>2.5961538461538591E-3</v>
      </c>
      <c r="FY17" s="64">
        <f t="shared" si="123"/>
        <v>1.2499999999999734E-3</v>
      </c>
      <c r="FZ17" s="280">
        <f t="shared" si="124"/>
        <v>6.7199999999999482E-3</v>
      </c>
      <c r="GA17" s="64"/>
      <c r="GB17" s="89">
        <v>2027</v>
      </c>
      <c r="GC17" s="278">
        <f t="shared" si="125"/>
        <v>0.97333333333333327</v>
      </c>
      <c r="GE17" s="278">
        <f t="shared" si="126"/>
        <v>0.8177127712507487</v>
      </c>
      <c r="GF17" s="278">
        <f t="shared" si="127"/>
        <v>0.05</v>
      </c>
      <c r="GG17" s="64">
        <f t="shared" si="128"/>
        <v>2.598917947826087E-2</v>
      </c>
      <c r="GH17" s="64">
        <f t="shared" si="129"/>
        <v>2.5731895424836587E-2</v>
      </c>
      <c r="GI17" s="64">
        <f t="shared" si="130"/>
        <v>5.7226277372262824E-2</v>
      </c>
      <c r="GJ17" s="64">
        <f t="shared" si="131"/>
        <v>2.4355231143552314E-2</v>
      </c>
      <c r="GK17" s="64">
        <f t="shared" si="132"/>
        <v>1.1751824817518242E-2</v>
      </c>
      <c r="GL17" s="64">
        <f t="shared" si="133"/>
        <v>0</v>
      </c>
      <c r="GM17" s="64">
        <f t="shared" si="134"/>
        <v>2.5961538461538591E-3</v>
      </c>
      <c r="GN17" s="64">
        <f t="shared" si="135"/>
        <v>1.2499999999999734E-3</v>
      </c>
      <c r="GO17" s="280">
        <f t="shared" si="136"/>
        <v>6.7199999999999482E-3</v>
      </c>
      <c r="GP17" s="64"/>
      <c r="GQ17" s="89">
        <v>2027</v>
      </c>
      <c r="GR17" s="278">
        <f t="shared" si="137"/>
        <v>0.97333333333333327</v>
      </c>
      <c r="GT17" s="278">
        <f t="shared" si="138"/>
        <v>0.82334583107683568</v>
      </c>
      <c r="GU17" s="278">
        <f t="shared" si="139"/>
        <v>0.05</v>
      </c>
      <c r="GV17" s="64">
        <f t="shared" si="140"/>
        <v>1.7326119652173917E-2</v>
      </c>
      <c r="GW17" s="64">
        <f t="shared" si="141"/>
        <v>2.8761895424836585E-2</v>
      </c>
      <c r="GX17" s="64">
        <f t="shared" si="43"/>
        <v>5.7226277372262824E-2</v>
      </c>
      <c r="GY17" s="64">
        <f t="shared" si="44"/>
        <v>2.4355231143552314E-2</v>
      </c>
      <c r="GZ17" s="64">
        <f t="shared" si="45"/>
        <v>1.1751824817518242E-2</v>
      </c>
      <c r="HA17" s="64">
        <f t="shared" si="46"/>
        <v>0</v>
      </c>
      <c r="HB17" s="64">
        <f t="shared" si="47"/>
        <v>2.5961538461538591E-3</v>
      </c>
      <c r="HC17" s="64">
        <f t="shared" si="48"/>
        <v>1.2499999999999734E-3</v>
      </c>
      <c r="HD17" s="280">
        <f t="shared" si="49"/>
        <v>6.7199999999999482E-3</v>
      </c>
      <c r="HE17" s="64"/>
      <c r="HF17" s="89">
        <v>2027</v>
      </c>
      <c r="HG17" s="278">
        <f t="shared" si="142"/>
        <v>0.97333333333333327</v>
      </c>
      <c r="HI17" s="278">
        <f t="shared" si="143"/>
        <v>0.82897889090292254</v>
      </c>
      <c r="HJ17" s="278">
        <f t="shared" si="144"/>
        <v>0.05</v>
      </c>
      <c r="HK17" s="64">
        <f t="shared" si="145"/>
        <v>8.6630598260869565E-3</v>
      </c>
      <c r="HL17" s="64">
        <f t="shared" si="146"/>
        <v>3.1791895424836583E-2</v>
      </c>
      <c r="HM17" s="64">
        <f t="shared" si="147"/>
        <v>5.7226277372262824E-2</v>
      </c>
      <c r="HN17" s="64">
        <f t="shared" si="148"/>
        <v>2.4355231143552314E-2</v>
      </c>
      <c r="HO17" s="64">
        <f t="shared" si="149"/>
        <v>1.1751824817518242E-2</v>
      </c>
      <c r="HP17" s="64">
        <f t="shared" si="150"/>
        <v>0</v>
      </c>
      <c r="HQ17" s="64">
        <f t="shared" si="151"/>
        <v>2.5961538461538591E-3</v>
      </c>
      <c r="HR17" s="64">
        <f t="shared" si="152"/>
        <v>1.2499999999999734E-3</v>
      </c>
      <c r="HS17" s="280">
        <f t="shared" si="153"/>
        <v>6.7199999999999482E-3</v>
      </c>
      <c r="HT17" s="64"/>
      <c r="HU17" s="89">
        <v>2027</v>
      </c>
      <c r="HV17" s="278">
        <f t="shared" si="154"/>
        <v>0.97333333333333327</v>
      </c>
      <c r="HX17" s="278">
        <f t="shared" si="155"/>
        <v>0.83173930970485499</v>
      </c>
      <c r="HY17" s="278">
        <f t="shared" si="156"/>
        <v>0.05</v>
      </c>
      <c r="HZ17" s="64">
        <f t="shared" si="157"/>
        <v>4.3315299130434739E-3</v>
      </c>
      <c r="IA17" s="64">
        <f t="shared" si="158"/>
        <v>3.3363006535947697E-2</v>
      </c>
      <c r="IB17" s="64">
        <f t="shared" si="159"/>
        <v>5.7226277372262824E-2</v>
      </c>
      <c r="IC17" s="64">
        <f t="shared" si="160"/>
        <v>2.4355231143552314E-2</v>
      </c>
      <c r="ID17" s="64">
        <f t="shared" si="161"/>
        <v>1.1751824817518242E-2</v>
      </c>
      <c r="IE17" s="64">
        <f t="shared" si="162"/>
        <v>0</v>
      </c>
      <c r="IF17" s="64">
        <f t="shared" si="163"/>
        <v>2.5961538461538591E-3</v>
      </c>
      <c r="IG17" s="64">
        <f t="shared" si="164"/>
        <v>1.2499999999999734E-3</v>
      </c>
      <c r="IH17" s="280">
        <f t="shared" si="165"/>
        <v>6.7199999999999482E-3</v>
      </c>
      <c r="II17" s="64"/>
      <c r="IJ17" s="89">
        <v>2027</v>
      </c>
      <c r="IK17" s="278">
        <f t="shared" si="166"/>
        <v>0.97333333333333327</v>
      </c>
      <c r="IM17" s="278">
        <f t="shared" si="167"/>
        <v>0.83449972850678733</v>
      </c>
      <c r="IN17" s="278">
        <f t="shared" si="168"/>
        <v>0.05</v>
      </c>
      <c r="IO17" s="64">
        <v>0</v>
      </c>
      <c r="IP17" s="64">
        <f t="shared" si="169"/>
        <v>3.493411764705881E-2</v>
      </c>
      <c r="IQ17" s="64">
        <f t="shared" si="50"/>
        <v>5.7226277372262824E-2</v>
      </c>
      <c r="IR17" s="64">
        <f t="shared" si="51"/>
        <v>2.4355231143552314E-2</v>
      </c>
      <c r="IS17" s="64">
        <f t="shared" si="52"/>
        <v>1.1751824817518242E-2</v>
      </c>
      <c r="IT17" s="64">
        <f t="shared" si="53"/>
        <v>0</v>
      </c>
      <c r="IU17" s="64">
        <f t="shared" si="54"/>
        <v>2.5961538461538591E-3</v>
      </c>
      <c r="IV17" s="64">
        <f t="shared" si="55"/>
        <v>1.2499999999999734E-3</v>
      </c>
      <c r="IW17" s="280">
        <f t="shared" si="56"/>
        <v>6.7199999999999482E-3</v>
      </c>
      <c r="IX17" s="3">
        <f t="shared" si="170"/>
        <v>0.74957894736842068</v>
      </c>
      <c r="IY17">
        <f t="shared" si="57"/>
        <v>2027</v>
      </c>
      <c r="IZ17" s="3">
        <f t="shared" si="171"/>
        <v>7.1444412217194575</v>
      </c>
      <c r="JA17" s="353">
        <f>HLOOKUP(JA$3,'Main calculations'!JG$8:JS$39,10,FALSE)</f>
        <v>7.4534664644796731</v>
      </c>
      <c r="JB17" s="3">
        <f t="shared" si="172"/>
        <v>7.6933333333333334</v>
      </c>
      <c r="JC17" s="353">
        <f t="shared" si="173"/>
        <v>8.098245614035088</v>
      </c>
      <c r="JD17" s="368">
        <f t="shared" si="174"/>
        <v>6.8010994152046775</v>
      </c>
      <c r="JE17" s="369">
        <f t="shared" si="175"/>
        <v>7.1590520160049245</v>
      </c>
      <c r="JF17" s="363">
        <f t="shared" si="176"/>
        <v>7.0647969544730795</v>
      </c>
      <c r="JG17" s="362">
        <f t="shared" si="58"/>
        <v>7.4366283731295582</v>
      </c>
      <c r="JH17" s="366">
        <f t="shared" si="59"/>
        <v>7.0807931412556888</v>
      </c>
      <c r="JI17" s="367">
        <f t="shared" si="9"/>
        <v>7.4534664644796731</v>
      </c>
      <c r="JJ17" s="363">
        <f t="shared" si="60"/>
        <v>7.0967893280382981</v>
      </c>
      <c r="JK17" s="362">
        <f t="shared" si="61"/>
        <v>7.470304555829788</v>
      </c>
      <c r="JL17" s="366">
        <f t="shared" si="177"/>
        <v>7.1127855148209056</v>
      </c>
      <c r="JM17" s="367">
        <f t="shared" si="62"/>
        <v>7.4871426471799012</v>
      </c>
      <c r="JN17" s="363">
        <f t="shared" si="178"/>
        <v>7.128781701603514</v>
      </c>
      <c r="JO17" s="362">
        <f t="shared" si="63"/>
        <v>7.5039807385300152</v>
      </c>
      <c r="JP17" s="366">
        <f t="shared" si="179"/>
        <v>7.1366114616614853</v>
      </c>
      <c r="JQ17" s="367">
        <f t="shared" si="64"/>
        <v>7.5122225912226162</v>
      </c>
      <c r="JR17" s="363">
        <f t="shared" si="180"/>
        <v>7.1444412217194575</v>
      </c>
      <c r="JS17" s="362">
        <f t="shared" si="65"/>
        <v>7.5204644439152188</v>
      </c>
    </row>
    <row r="18" spans="1:281" ht="25" customHeight="1">
      <c r="A18" s="690" t="s">
        <v>103</v>
      </c>
      <c r="B18" s="690"/>
      <c r="C18" s="690"/>
      <c r="D18" s="690"/>
      <c r="E18" s="690"/>
      <c r="F18" s="690"/>
      <c r="G18" s="6"/>
      <c r="H18" s="300"/>
      <c r="J18" s="301"/>
      <c r="AL18" s="3"/>
      <c r="AO18" s="89">
        <v>2028</v>
      </c>
      <c r="AP18" s="170">
        <f t="shared" si="181"/>
        <v>-7.6800000000000002E-3</v>
      </c>
      <c r="AQ18" s="170">
        <f t="shared" si="182"/>
        <v>-1.5000000000000002E-3</v>
      </c>
      <c r="AR18" s="170">
        <f t="shared" si="183"/>
        <v>-3.4615384615384612E-3</v>
      </c>
      <c r="AS18" s="170">
        <f t="shared" si="184"/>
        <v>0</v>
      </c>
      <c r="AU18" s="170">
        <f t="shared" si="185"/>
        <v>-1.3430656934306574E-2</v>
      </c>
      <c r="AV18" s="170">
        <f t="shared" si="186"/>
        <v>-2.7834549878345497E-2</v>
      </c>
      <c r="AW18" s="170">
        <f t="shared" si="187"/>
        <v>-6.540145985401459E-2</v>
      </c>
      <c r="AY18" s="170">
        <f t="shared" si="188"/>
        <v>-3.9924705882352925E-2</v>
      </c>
      <c r="AZ18" s="278">
        <f t="shared" si="189"/>
        <v>1.8853333333333324E-3</v>
      </c>
      <c r="BA18" s="284">
        <f t="shared" si="190"/>
        <v>-2.4888662399999976E-2</v>
      </c>
      <c r="BB18" s="276">
        <f t="shared" si="191"/>
        <v>-8.3131606956521695E-3</v>
      </c>
      <c r="BC18" s="277">
        <f t="shared" si="192"/>
        <v>-5.3332847999999948E-3</v>
      </c>
      <c r="BD18" s="278">
        <f t="shared" si="193"/>
        <v>1.8853333333333324E-3</v>
      </c>
      <c r="BE18" s="284">
        <f t="shared" si="194"/>
        <v>-2.4888662400000018E-2</v>
      </c>
      <c r="BF18" s="276">
        <f t="shared" si="195"/>
        <v>-8.3131606956521695E-3</v>
      </c>
      <c r="BG18" s="277">
        <f t="shared" si="196"/>
        <v>-5.3332848000000044E-3</v>
      </c>
      <c r="BH18" s="278">
        <f t="shared" si="197"/>
        <v>3.6359999999999986E-3</v>
      </c>
      <c r="BI18" s="284">
        <f t="shared" si="198"/>
        <v>-4.9777324800000022E-2</v>
      </c>
      <c r="BJ18" s="276">
        <f t="shared" si="199"/>
        <v>-1.662632139130436E-2</v>
      </c>
      <c r="BK18" s="277">
        <f t="shared" si="200"/>
        <v>-1.0666569600000004E-2</v>
      </c>
      <c r="BL18" s="278">
        <f t="shared" si="201"/>
        <v>3.6359999999999986E-3</v>
      </c>
      <c r="BM18" s="284">
        <f t="shared" si="202"/>
        <v>-4.9777324799999981E-2</v>
      </c>
      <c r="BN18" s="276">
        <f t="shared" si="203"/>
        <v>-1.6626321391304332E-2</v>
      </c>
      <c r="BO18" s="277">
        <f t="shared" si="204"/>
        <v>-1.0666569599999995E-2</v>
      </c>
      <c r="BP18" s="278">
        <f t="shared" si="205"/>
        <v>3.6359999999999986E-3</v>
      </c>
      <c r="BQ18" s="284">
        <f t="shared" si="206"/>
        <v>-4.9777324800000036E-2</v>
      </c>
      <c r="BR18" s="276">
        <f t="shared" si="207"/>
        <v>-1.6626321391304356E-2</v>
      </c>
      <c r="BS18" s="277">
        <f t="shared" si="208"/>
        <v>-1.0666569600000009E-2</v>
      </c>
      <c r="BT18" s="278">
        <f t="shared" si="209"/>
        <v>3.6359999999999986E-3</v>
      </c>
      <c r="BU18" s="284">
        <f t="shared" si="210"/>
        <v>-4.9777324799999981E-2</v>
      </c>
      <c r="BV18" s="276">
        <f t="shared" si="211"/>
        <v>-1.6626321391304343E-2</v>
      </c>
      <c r="BW18" s="278">
        <f t="shared" si="212"/>
        <v>-1.0666569599999995E-2</v>
      </c>
      <c r="BX18" s="391">
        <f t="shared" si="66"/>
        <v>-2.5246039215686265E-2</v>
      </c>
      <c r="BY18" s="392">
        <f t="shared" si="67"/>
        <v>-4.2666278400000007E-2</v>
      </c>
      <c r="BZ18" s="278"/>
      <c r="CB18" s="279">
        <f t="shared" si="16"/>
        <v>-0.15923291101055806</v>
      </c>
      <c r="CC18" s="64">
        <f t="shared" si="17"/>
        <v>-0.16268086247722474</v>
      </c>
      <c r="CD18" s="64">
        <f t="shared" si="18"/>
        <v>-0.16612881394389142</v>
      </c>
      <c r="CE18" s="64">
        <f t="shared" si="19"/>
        <v>-0.17315938354389143</v>
      </c>
      <c r="CF18" s="64">
        <f t="shared" si="20"/>
        <v>-0.18018995314389141</v>
      </c>
      <c r="CG18" s="64">
        <f t="shared" si="21"/>
        <v>-0.18722052274389142</v>
      </c>
      <c r="CH18" s="64">
        <f t="shared" si="22"/>
        <v>-0.19425109234389143</v>
      </c>
      <c r="CI18">
        <v>2028</v>
      </c>
      <c r="CJ18" s="240"/>
      <c r="CL18">
        <v>2028</v>
      </c>
      <c r="CM18" s="3">
        <f t="shared" si="68"/>
        <v>0.95</v>
      </c>
      <c r="CN18" s="64">
        <f t="shared" si="23"/>
        <v>0.94231999999999994</v>
      </c>
      <c r="CO18" s="64">
        <f t="shared" si="24"/>
        <v>0.94081999999999999</v>
      </c>
      <c r="CP18" s="64">
        <f t="shared" si="25"/>
        <v>0.93735846153846147</v>
      </c>
      <c r="CQ18" s="64">
        <f t="shared" si="26"/>
        <v>0.93735846153846147</v>
      </c>
      <c r="CR18" s="64">
        <f t="shared" si="27"/>
        <v>0.92392780460415491</v>
      </c>
      <c r="CS18" s="64">
        <f t="shared" si="28"/>
        <v>0.89609325472580936</v>
      </c>
      <c r="CT18" s="64">
        <f t="shared" si="29"/>
        <v>0.83069179487179479</v>
      </c>
      <c r="CU18" s="64">
        <f t="shared" si="30"/>
        <v>0.79076708898944181</v>
      </c>
      <c r="CV18" s="64">
        <f t="shared" si="31"/>
        <v>0.79265242232277511</v>
      </c>
      <c r="CW18" s="65">
        <f t="shared" si="69"/>
        <v>0.78731913752277516</v>
      </c>
      <c r="CX18" s="64">
        <f t="shared" si="70"/>
        <v>0.7945377556561084</v>
      </c>
      <c r="CY18" s="65">
        <f t="shared" si="71"/>
        <v>0.7838711860561085</v>
      </c>
      <c r="CZ18" s="64">
        <f t="shared" si="72"/>
        <v>0.79817375565610837</v>
      </c>
      <c r="DA18" s="65">
        <f t="shared" si="73"/>
        <v>0.77684061645610847</v>
      </c>
      <c r="DB18" s="64">
        <f t="shared" si="74"/>
        <v>0.80180975565610835</v>
      </c>
      <c r="DC18" s="65">
        <f t="shared" si="75"/>
        <v>0.76981004685610843</v>
      </c>
      <c r="DD18" s="64">
        <f t="shared" si="76"/>
        <v>0.80544575565610832</v>
      </c>
      <c r="DE18" s="65">
        <f t="shared" si="77"/>
        <v>0.7627794772561084</v>
      </c>
      <c r="DF18" s="64">
        <f t="shared" si="78"/>
        <v>0.80908175565610829</v>
      </c>
      <c r="DG18" s="65">
        <f t="shared" si="79"/>
        <v>0.75574890765610836</v>
      </c>
      <c r="DL18">
        <v>2028</v>
      </c>
      <c r="DM18" s="64">
        <f t="shared" si="80"/>
        <v>0.75574890765610836</v>
      </c>
      <c r="DN18" s="64">
        <f t="shared" si="81"/>
        <v>0.7627794772561084</v>
      </c>
      <c r="DO18" s="64">
        <f t="shared" si="82"/>
        <v>0.76981004685610843</v>
      </c>
      <c r="DP18" s="64">
        <f t="shared" si="83"/>
        <v>0.77684061645610847</v>
      </c>
      <c r="DQ18" s="64">
        <f t="shared" si="84"/>
        <v>0.7838711860561085</v>
      </c>
      <c r="DR18" s="64">
        <f t="shared" si="85"/>
        <v>0.78731913752277516</v>
      </c>
      <c r="DS18" s="64">
        <f t="shared" si="32"/>
        <v>0.79076708898944181</v>
      </c>
      <c r="DT18" s="64">
        <f t="shared" si="33"/>
        <v>0.83069179487179479</v>
      </c>
      <c r="DU18" s="64">
        <f t="shared" si="34"/>
        <v>0.89609325472580936</v>
      </c>
      <c r="DV18" s="64">
        <f t="shared" si="35"/>
        <v>0.92392780460415491</v>
      </c>
      <c r="DW18" s="64">
        <f t="shared" si="36"/>
        <v>0.93735846153846147</v>
      </c>
      <c r="DX18" s="64">
        <f t="shared" si="37"/>
        <v>0.93735846153846147</v>
      </c>
      <c r="DY18" s="64">
        <f t="shared" si="38"/>
        <v>0.94081999999999999</v>
      </c>
      <c r="DZ18" s="64">
        <f t="shared" si="39"/>
        <v>0.94231999999999994</v>
      </c>
      <c r="EA18" s="3">
        <f t="shared" si="86"/>
        <v>0.95</v>
      </c>
      <c r="EB18">
        <v>2028</v>
      </c>
      <c r="EC18" s="269">
        <f t="shared" si="87"/>
        <v>0.75574890765610836</v>
      </c>
      <c r="ED18" s="269">
        <f t="shared" si="88"/>
        <v>0.05</v>
      </c>
      <c r="EE18" s="64">
        <f t="shared" si="89"/>
        <v>7.0305696000000362E-3</v>
      </c>
      <c r="EF18" s="64">
        <f t="shared" si="90"/>
        <v>7.0305696000000362E-3</v>
      </c>
      <c r="EG18" s="64">
        <f t="shared" si="91"/>
        <v>7.0305696000000362E-3</v>
      </c>
      <c r="EH18" s="64">
        <f t="shared" si="92"/>
        <v>7.0305696000000362E-3</v>
      </c>
      <c r="EI18" s="64">
        <f t="shared" si="93"/>
        <v>3.4479514666666544E-3</v>
      </c>
      <c r="EJ18" s="64">
        <f t="shared" si="94"/>
        <v>3.4479514666666544E-3</v>
      </c>
      <c r="EK18" s="64">
        <f t="shared" si="95"/>
        <v>3.9924705882352973E-2</v>
      </c>
      <c r="EL18" s="64">
        <f t="shared" si="96"/>
        <v>6.5401459854014576E-2</v>
      </c>
      <c r="EM18" s="64">
        <f t="shared" si="97"/>
        <v>2.7834549878345549E-2</v>
      </c>
      <c r="EN18" s="64">
        <f t="shared" si="98"/>
        <v>1.3430656934306562E-2</v>
      </c>
      <c r="EO18" s="64">
        <f t="shared" si="99"/>
        <v>0</v>
      </c>
      <c r="EP18" s="64">
        <f t="shared" si="100"/>
        <v>3.4615384615385159E-3</v>
      </c>
      <c r="EQ18" s="64">
        <f t="shared" si="101"/>
        <v>1.4999999999999458E-3</v>
      </c>
      <c r="ER18" s="64">
        <f t="shared" si="102"/>
        <v>7.6800000000000201E-3</v>
      </c>
      <c r="EX18" s="89">
        <v>2028</v>
      </c>
      <c r="EY18" s="278">
        <f t="shared" si="103"/>
        <v>0.97666666666666657</v>
      </c>
      <c r="EZ18" s="278"/>
      <c r="FA18" s="278">
        <f t="shared" si="104"/>
        <v>0.7824155743227752</v>
      </c>
      <c r="FB18" s="278">
        <f t="shared" si="41"/>
        <v>0.05</v>
      </c>
      <c r="FC18" s="64">
        <f t="shared" si="42"/>
        <v>5.3332848000000002E-2</v>
      </c>
      <c r="FD18" s="64">
        <f t="shared" si="105"/>
        <v>2.1610039215686265E-2</v>
      </c>
      <c r="FE18" s="64">
        <f t="shared" si="106"/>
        <v>6.5401459854014576E-2</v>
      </c>
      <c r="FF18" s="64">
        <f t="shared" si="107"/>
        <v>2.7834549878345549E-2</v>
      </c>
      <c r="FG18" s="64">
        <f t="shared" si="108"/>
        <v>1.3430656934306562E-2</v>
      </c>
      <c r="FH18" s="64">
        <f t="shared" si="109"/>
        <v>0</v>
      </c>
      <c r="FI18" s="64">
        <f t="shared" si="110"/>
        <v>3.4615384615385159E-3</v>
      </c>
      <c r="FJ18" s="64">
        <f t="shared" si="111"/>
        <v>1.4999999999999458E-3</v>
      </c>
      <c r="FK18" s="280">
        <f t="shared" si="112"/>
        <v>7.6800000000000201E-3</v>
      </c>
      <c r="FL18" s="64"/>
      <c r="FM18" s="89">
        <v>2028</v>
      </c>
      <c r="FN18" s="278">
        <f t="shared" si="113"/>
        <v>0.97666666666666657</v>
      </c>
      <c r="FP18" s="278">
        <f t="shared" si="114"/>
        <v>0.78944614392277512</v>
      </c>
      <c r="FQ18" s="278">
        <f t="shared" si="115"/>
        <v>0.05</v>
      </c>
      <c r="FR18" s="64">
        <f t="shared" si="116"/>
        <v>4.2666278400000007E-2</v>
      </c>
      <c r="FS18" s="64">
        <f t="shared" si="117"/>
        <v>2.5246039215686265E-2</v>
      </c>
      <c r="FT18" s="64">
        <f t="shared" si="118"/>
        <v>6.5401459854014576E-2</v>
      </c>
      <c r="FU18" s="64">
        <f t="shared" si="119"/>
        <v>2.7834549878345549E-2</v>
      </c>
      <c r="FV18" s="64">
        <f t="shared" si="120"/>
        <v>1.3430656934306562E-2</v>
      </c>
      <c r="FW18" s="64">
        <f t="shared" si="121"/>
        <v>0</v>
      </c>
      <c r="FX18" s="64">
        <f t="shared" si="122"/>
        <v>3.4615384615385159E-3</v>
      </c>
      <c r="FY18" s="64">
        <f t="shared" si="123"/>
        <v>1.4999999999999458E-3</v>
      </c>
      <c r="FZ18" s="280">
        <f t="shared" si="124"/>
        <v>7.6800000000000201E-3</v>
      </c>
      <c r="GA18" s="64"/>
      <c r="GB18" s="89">
        <v>2028</v>
      </c>
      <c r="GC18" s="278">
        <f t="shared" si="125"/>
        <v>0.97666666666666657</v>
      </c>
      <c r="GE18" s="278">
        <f t="shared" si="126"/>
        <v>0.79647671352277516</v>
      </c>
      <c r="GF18" s="278">
        <f t="shared" si="127"/>
        <v>0.05</v>
      </c>
      <c r="GG18" s="64">
        <f t="shared" si="128"/>
        <v>3.1999708799999999E-2</v>
      </c>
      <c r="GH18" s="64">
        <f t="shared" si="129"/>
        <v>2.8882039215686266E-2</v>
      </c>
      <c r="GI18" s="64">
        <f t="shared" si="130"/>
        <v>6.5401459854014576E-2</v>
      </c>
      <c r="GJ18" s="64">
        <f t="shared" si="131"/>
        <v>2.7834549878345549E-2</v>
      </c>
      <c r="GK18" s="64">
        <f t="shared" si="132"/>
        <v>1.3430656934306562E-2</v>
      </c>
      <c r="GL18" s="64">
        <f t="shared" si="133"/>
        <v>0</v>
      </c>
      <c r="GM18" s="64">
        <f t="shared" si="134"/>
        <v>3.4615384615385159E-3</v>
      </c>
      <c r="GN18" s="64">
        <f t="shared" si="135"/>
        <v>1.4999999999999458E-3</v>
      </c>
      <c r="GO18" s="280">
        <f t="shared" si="136"/>
        <v>7.6800000000000201E-3</v>
      </c>
      <c r="GP18" s="64"/>
      <c r="GQ18" s="89">
        <v>2028</v>
      </c>
      <c r="GR18" s="278">
        <f t="shared" si="137"/>
        <v>0.97666666666666657</v>
      </c>
      <c r="GT18" s="278">
        <f t="shared" si="138"/>
        <v>0.8035072831227752</v>
      </c>
      <c r="GU18" s="278">
        <f t="shared" si="139"/>
        <v>0.05</v>
      </c>
      <c r="GV18" s="64">
        <f t="shared" si="140"/>
        <v>2.1333139200000004E-2</v>
      </c>
      <c r="GW18" s="64">
        <f t="shared" si="141"/>
        <v>3.2518039215686266E-2</v>
      </c>
      <c r="GX18" s="64">
        <f t="shared" si="43"/>
        <v>6.5401459854014576E-2</v>
      </c>
      <c r="GY18" s="64">
        <f t="shared" si="44"/>
        <v>2.7834549878345549E-2</v>
      </c>
      <c r="GZ18" s="64">
        <f t="shared" si="45"/>
        <v>1.3430656934306562E-2</v>
      </c>
      <c r="HA18" s="64">
        <f t="shared" si="46"/>
        <v>0</v>
      </c>
      <c r="HB18" s="64">
        <f t="shared" si="47"/>
        <v>3.4615384615385159E-3</v>
      </c>
      <c r="HC18" s="64">
        <f t="shared" si="48"/>
        <v>1.4999999999999458E-3</v>
      </c>
      <c r="HD18" s="280">
        <f t="shared" si="49"/>
        <v>7.6800000000000201E-3</v>
      </c>
      <c r="HE18" s="64"/>
      <c r="HF18" s="89">
        <v>2028</v>
      </c>
      <c r="HG18" s="278">
        <f t="shared" si="142"/>
        <v>0.97666666666666657</v>
      </c>
      <c r="HI18" s="278">
        <f t="shared" si="143"/>
        <v>0.81053785272277512</v>
      </c>
      <c r="HJ18" s="278">
        <f t="shared" si="144"/>
        <v>0.05</v>
      </c>
      <c r="HK18" s="64">
        <f t="shared" si="145"/>
        <v>1.0666569599999998E-2</v>
      </c>
      <c r="HL18" s="64">
        <f t="shared" si="146"/>
        <v>3.6154039215686266E-2</v>
      </c>
      <c r="HM18" s="64">
        <f t="shared" si="147"/>
        <v>6.5401459854014576E-2</v>
      </c>
      <c r="HN18" s="64">
        <f t="shared" si="148"/>
        <v>2.7834549878345549E-2</v>
      </c>
      <c r="HO18" s="64">
        <f t="shared" si="149"/>
        <v>1.3430656934306562E-2</v>
      </c>
      <c r="HP18" s="64">
        <f t="shared" si="150"/>
        <v>0</v>
      </c>
      <c r="HQ18" s="64">
        <f t="shared" si="151"/>
        <v>3.4615384615385159E-3</v>
      </c>
      <c r="HR18" s="64">
        <f t="shared" si="152"/>
        <v>1.4999999999999458E-3</v>
      </c>
      <c r="HS18" s="280">
        <f t="shared" si="153"/>
        <v>7.6800000000000201E-3</v>
      </c>
      <c r="HT18" s="64"/>
      <c r="HU18" s="89">
        <v>2028</v>
      </c>
      <c r="HV18" s="278">
        <f t="shared" si="154"/>
        <v>0.97666666666666657</v>
      </c>
      <c r="HX18" s="278">
        <f t="shared" si="155"/>
        <v>0.81398580418944178</v>
      </c>
      <c r="HY18" s="278">
        <f t="shared" si="156"/>
        <v>0.05</v>
      </c>
      <c r="HZ18" s="64">
        <f t="shared" si="157"/>
        <v>5.3332847999999948E-3</v>
      </c>
      <c r="IA18" s="64">
        <f t="shared" si="158"/>
        <v>3.8039372549019596E-2</v>
      </c>
      <c r="IB18" s="64">
        <f t="shared" si="159"/>
        <v>6.5401459854014576E-2</v>
      </c>
      <c r="IC18" s="64">
        <f t="shared" si="160"/>
        <v>2.7834549878345549E-2</v>
      </c>
      <c r="ID18" s="64">
        <f t="shared" si="161"/>
        <v>1.3430656934306562E-2</v>
      </c>
      <c r="IE18" s="64">
        <f t="shared" si="162"/>
        <v>0</v>
      </c>
      <c r="IF18" s="64">
        <f t="shared" si="163"/>
        <v>3.4615384615385159E-3</v>
      </c>
      <c r="IG18" s="64">
        <f t="shared" si="164"/>
        <v>1.4999999999999458E-3</v>
      </c>
      <c r="IH18" s="280">
        <f t="shared" si="165"/>
        <v>7.6800000000000201E-3</v>
      </c>
      <c r="II18" s="64"/>
      <c r="IJ18" s="89">
        <v>2028</v>
      </c>
      <c r="IK18" s="278">
        <f t="shared" si="166"/>
        <v>0.97666666666666657</v>
      </c>
      <c r="IM18" s="278">
        <f t="shared" si="167"/>
        <v>0.81743375565610843</v>
      </c>
      <c r="IN18" s="278">
        <f t="shared" si="168"/>
        <v>0.05</v>
      </c>
      <c r="IO18" s="64">
        <v>0</v>
      </c>
      <c r="IP18" s="64">
        <f t="shared" si="169"/>
        <v>3.9924705882352925E-2</v>
      </c>
      <c r="IQ18" s="64">
        <f t="shared" si="50"/>
        <v>6.5401459854014576E-2</v>
      </c>
      <c r="IR18" s="64">
        <f t="shared" si="51"/>
        <v>2.7834549878345549E-2</v>
      </c>
      <c r="IS18" s="64">
        <f t="shared" si="52"/>
        <v>1.3430656934306562E-2</v>
      </c>
      <c r="IT18" s="64">
        <f t="shared" si="53"/>
        <v>0</v>
      </c>
      <c r="IU18" s="64">
        <f t="shared" si="54"/>
        <v>3.4615384615385159E-3</v>
      </c>
      <c r="IV18" s="64">
        <f t="shared" si="55"/>
        <v>1.4999999999999458E-3</v>
      </c>
      <c r="IW18" s="280">
        <f t="shared" si="56"/>
        <v>7.6800000000000201E-3</v>
      </c>
      <c r="IX18" s="3">
        <f t="shared" si="170"/>
        <v>0.7205497076023395</v>
      </c>
      <c r="IY18">
        <f t="shared" si="57"/>
        <v>2028</v>
      </c>
      <c r="IZ18" s="3">
        <f t="shared" si="171"/>
        <v>7.9618749773755662</v>
      </c>
      <c r="JA18" s="353">
        <f>HLOOKUP(JA$3,'Main calculations'!JG$8:JS$39,11,FALSE)</f>
        <v>8.2844624054510145</v>
      </c>
      <c r="JB18" s="3">
        <f t="shared" si="172"/>
        <v>8.67</v>
      </c>
      <c r="JC18" s="353">
        <f t="shared" si="173"/>
        <v>9.1263157894736846</v>
      </c>
      <c r="JD18" s="368">
        <f t="shared" si="174"/>
        <v>7.521649122807017</v>
      </c>
      <c r="JE18" s="369">
        <f t="shared" si="175"/>
        <v>7.9175253924284394</v>
      </c>
      <c r="JF18" s="363">
        <f t="shared" si="176"/>
        <v>7.847212528795855</v>
      </c>
      <c r="JG18" s="362">
        <f t="shared" si="58"/>
        <v>8.2602237145219526</v>
      </c>
      <c r="JH18" s="366">
        <f t="shared" si="59"/>
        <v>7.8702392851784637</v>
      </c>
      <c r="JI18" s="367">
        <f t="shared" si="9"/>
        <v>8.2844624054510145</v>
      </c>
      <c r="JJ18" s="363">
        <f t="shared" si="60"/>
        <v>7.8932660415610734</v>
      </c>
      <c r="JK18" s="362">
        <f t="shared" si="61"/>
        <v>8.3087010963800783</v>
      </c>
      <c r="JL18" s="366">
        <f t="shared" si="177"/>
        <v>7.9162927979436812</v>
      </c>
      <c r="JM18" s="367">
        <f t="shared" si="62"/>
        <v>8.3329397873091384</v>
      </c>
      <c r="JN18" s="363">
        <f t="shared" si="178"/>
        <v>7.9393195543262891</v>
      </c>
      <c r="JO18" s="362">
        <f t="shared" si="63"/>
        <v>8.3571784782381986</v>
      </c>
      <c r="JP18" s="366">
        <f t="shared" si="179"/>
        <v>7.9505972658509272</v>
      </c>
      <c r="JQ18" s="367">
        <f t="shared" si="64"/>
        <v>8.3690497535272925</v>
      </c>
      <c r="JR18" s="363">
        <f t="shared" si="180"/>
        <v>7.9618749773755662</v>
      </c>
      <c r="JS18" s="362">
        <f t="shared" si="65"/>
        <v>8.3809210288163865</v>
      </c>
    </row>
    <row r="19" spans="1:281">
      <c r="A19" s="259">
        <f>'1 StrategyMix for CarbonTargets'!V19</f>
        <v>0.2</v>
      </c>
      <c r="B19" s="247"/>
      <c r="C19" s="247"/>
      <c r="D19" s="247"/>
      <c r="E19" s="293"/>
      <c r="F19" s="293"/>
      <c r="G19" s="293"/>
      <c r="H19" s="297" cm="1">
        <f t="array" ref="H19">INDEX(DaS!I9:I53,MATCH(1,(A9=DaS!A9:A53)*(A19=DaS!B9:B53),0))</f>
        <v>1.0000000000000002E-2</v>
      </c>
      <c r="I19" s="298" cm="1">
        <f t="array" ref="I19">INDEX(DaS!H9:H53,MATCH(1,(A9=DaS!A9:A53)*(A19=DaS!B9:B53),0))</f>
        <v>8.0000000000000002E-3</v>
      </c>
      <c r="J19" s="299" cm="1">
        <f t="array" ref="J19">INDEX(DaS!G9:G53,MATCH(1,(A9=DaS!A9:A53)*(A19=DaS!B9:B53),0))</f>
        <v>7.000000000000001E-3</v>
      </c>
      <c r="K19" s="5"/>
      <c r="AL19" s="3"/>
      <c r="AO19" s="89">
        <v>2029</v>
      </c>
      <c r="AP19" s="170">
        <f t="shared" si="181"/>
        <v>-8.6400000000000001E-3</v>
      </c>
      <c r="AQ19" s="170">
        <f t="shared" si="182"/>
        <v>-1.7500000000000003E-3</v>
      </c>
      <c r="AR19" s="170">
        <f t="shared" si="183"/>
        <v>-4.3269230769230763E-3</v>
      </c>
      <c r="AS19" s="170">
        <f t="shared" si="184"/>
        <v>0</v>
      </c>
      <c r="AU19" s="170">
        <f t="shared" si="185"/>
        <v>-1.5109489051094896E-2</v>
      </c>
      <c r="AV19" s="170">
        <f t="shared" si="186"/>
        <v>-3.1313868613138687E-2</v>
      </c>
      <c r="AW19" s="170">
        <f t="shared" si="187"/>
        <v>-7.3576642335766412E-2</v>
      </c>
      <c r="AY19" s="170">
        <f t="shared" si="188"/>
        <v>-4.4915294117647039E-2</v>
      </c>
      <c r="AZ19" s="278">
        <f t="shared" si="189"/>
        <v>2.1995555555555544E-3</v>
      </c>
      <c r="BA19" s="284">
        <f t="shared" si="190"/>
        <v>-2.5520757286956498E-2</v>
      </c>
      <c r="BB19" s="276">
        <f t="shared" si="191"/>
        <v>-9.6986874782608642E-3</v>
      </c>
      <c r="BC19" s="277">
        <f t="shared" si="192"/>
        <v>-6.3801893217391246E-3</v>
      </c>
      <c r="BD19" s="278">
        <f t="shared" si="193"/>
        <v>2.1995555555555544E-3</v>
      </c>
      <c r="BE19" s="284">
        <f t="shared" si="194"/>
        <v>-2.552075728695654E-2</v>
      </c>
      <c r="BF19" s="276">
        <f t="shared" si="195"/>
        <v>-9.6986874782608642E-3</v>
      </c>
      <c r="BG19" s="277">
        <f t="shared" si="196"/>
        <v>-6.380189321739135E-3</v>
      </c>
      <c r="BH19" s="278">
        <f t="shared" si="197"/>
        <v>4.2419999999999984E-3</v>
      </c>
      <c r="BI19" s="284">
        <f t="shared" si="198"/>
        <v>-5.1041514573913066E-2</v>
      </c>
      <c r="BJ19" s="276">
        <f t="shared" si="199"/>
        <v>-1.9397374956521753E-2</v>
      </c>
      <c r="BK19" s="277">
        <f t="shared" si="200"/>
        <v>-1.2760378643478265E-2</v>
      </c>
      <c r="BL19" s="278">
        <f t="shared" si="201"/>
        <v>4.2419999999999984E-3</v>
      </c>
      <c r="BM19" s="284">
        <f t="shared" si="202"/>
        <v>-5.1041514573913024E-2</v>
      </c>
      <c r="BN19" s="276">
        <f t="shared" si="203"/>
        <v>-1.9397374956521721E-2</v>
      </c>
      <c r="BO19" s="277">
        <f t="shared" si="204"/>
        <v>-1.2760378643478254E-2</v>
      </c>
      <c r="BP19" s="278">
        <f t="shared" si="205"/>
        <v>4.2419999999999984E-3</v>
      </c>
      <c r="BQ19" s="284">
        <f t="shared" si="206"/>
        <v>-5.104151457391308E-2</v>
      </c>
      <c r="BR19" s="276">
        <f t="shared" si="207"/>
        <v>-1.9397374956521749E-2</v>
      </c>
      <c r="BS19" s="277">
        <f t="shared" si="208"/>
        <v>-1.2760378643478268E-2</v>
      </c>
      <c r="BT19" s="278">
        <f t="shared" si="209"/>
        <v>4.2419999999999984E-3</v>
      </c>
      <c r="BU19" s="284">
        <f t="shared" si="210"/>
        <v>-5.1041514573913024E-2</v>
      </c>
      <c r="BV19" s="276">
        <f t="shared" si="211"/>
        <v>-1.9397374956521732E-2</v>
      </c>
      <c r="BW19" s="278">
        <f t="shared" si="212"/>
        <v>-1.2760378643478253E-2</v>
      </c>
      <c r="BX19" s="391">
        <f t="shared" si="66"/>
        <v>-2.7790183006535945E-2</v>
      </c>
      <c r="BY19" s="392">
        <f t="shared" si="67"/>
        <v>-5.1041514573913045E-2</v>
      </c>
      <c r="BZ19" s="278"/>
      <c r="CB19" s="279">
        <f t="shared" si="16"/>
        <v>-0.17963221719457012</v>
      </c>
      <c r="CC19" s="64">
        <f t="shared" si="17"/>
        <v>-0.18381285096075367</v>
      </c>
      <c r="CD19" s="64">
        <f t="shared" si="18"/>
        <v>-0.18799348472693725</v>
      </c>
      <c r="CE19" s="64">
        <f t="shared" si="19"/>
        <v>-0.19651186337041551</v>
      </c>
      <c r="CF19" s="64">
        <f t="shared" si="20"/>
        <v>-0.20503024201389378</v>
      </c>
      <c r="CG19" s="64">
        <f t="shared" si="21"/>
        <v>-0.21354862065737204</v>
      </c>
      <c r="CH19" s="64">
        <f t="shared" si="22"/>
        <v>-0.2220669993008503</v>
      </c>
      <c r="CI19">
        <v>2029</v>
      </c>
      <c r="CJ19" s="240"/>
      <c r="CL19">
        <v>2029</v>
      </c>
      <c r="CM19" s="3">
        <f t="shared" si="68"/>
        <v>0.95</v>
      </c>
      <c r="CN19" s="64">
        <f t="shared" si="23"/>
        <v>0.94135999999999997</v>
      </c>
      <c r="CO19" s="64">
        <f t="shared" si="24"/>
        <v>0.93960999999999995</v>
      </c>
      <c r="CP19" s="64">
        <f t="shared" si="25"/>
        <v>0.93528307692307688</v>
      </c>
      <c r="CQ19" s="64">
        <f t="shared" si="26"/>
        <v>0.93528307692307688</v>
      </c>
      <c r="CR19" s="64">
        <f t="shared" si="27"/>
        <v>0.920173587871982</v>
      </c>
      <c r="CS19" s="64">
        <f t="shared" si="28"/>
        <v>0.88885971925884333</v>
      </c>
      <c r="CT19" s="64">
        <f t="shared" si="29"/>
        <v>0.81528307692307689</v>
      </c>
      <c r="CU19" s="64">
        <f t="shared" si="30"/>
        <v>0.77036778280542983</v>
      </c>
      <c r="CV19" s="64">
        <f t="shared" si="31"/>
        <v>0.77256733836098535</v>
      </c>
      <c r="CW19" s="65">
        <f t="shared" si="69"/>
        <v>0.76618714903924623</v>
      </c>
      <c r="CX19" s="64">
        <f t="shared" si="70"/>
        <v>0.77476689391654086</v>
      </c>
      <c r="CY19" s="65">
        <f t="shared" si="71"/>
        <v>0.76200651527306262</v>
      </c>
      <c r="CZ19" s="64">
        <f t="shared" si="72"/>
        <v>0.77900889391654082</v>
      </c>
      <c r="DA19" s="65">
        <f t="shared" si="73"/>
        <v>0.75348813662958436</v>
      </c>
      <c r="DB19" s="64">
        <f t="shared" si="74"/>
        <v>0.78325089391654079</v>
      </c>
      <c r="DC19" s="65">
        <f t="shared" si="75"/>
        <v>0.7449697579861061</v>
      </c>
      <c r="DD19" s="64">
        <f t="shared" si="76"/>
        <v>0.78749289391654076</v>
      </c>
      <c r="DE19" s="65">
        <f t="shared" si="77"/>
        <v>0.73645137934262783</v>
      </c>
      <c r="DF19" s="64">
        <f t="shared" si="78"/>
        <v>0.79173489391654073</v>
      </c>
      <c r="DG19" s="65">
        <f t="shared" si="79"/>
        <v>0.72793300069914957</v>
      </c>
      <c r="DL19">
        <v>2029</v>
      </c>
      <c r="DM19" s="64">
        <f t="shared" si="80"/>
        <v>0.72793300069914957</v>
      </c>
      <c r="DN19" s="64">
        <f t="shared" si="81"/>
        <v>0.73645137934262783</v>
      </c>
      <c r="DO19" s="64">
        <f t="shared" si="82"/>
        <v>0.7449697579861061</v>
      </c>
      <c r="DP19" s="64">
        <f t="shared" si="83"/>
        <v>0.75348813662958436</v>
      </c>
      <c r="DQ19" s="64">
        <f t="shared" si="84"/>
        <v>0.76200651527306262</v>
      </c>
      <c r="DR19" s="64">
        <f t="shared" si="85"/>
        <v>0.76618714903924623</v>
      </c>
      <c r="DS19" s="64">
        <f t="shared" si="32"/>
        <v>0.77036778280542983</v>
      </c>
      <c r="DT19" s="64">
        <f t="shared" si="33"/>
        <v>0.81528307692307689</v>
      </c>
      <c r="DU19" s="64">
        <f t="shared" si="34"/>
        <v>0.88885971925884333</v>
      </c>
      <c r="DV19" s="64">
        <f t="shared" si="35"/>
        <v>0.920173587871982</v>
      </c>
      <c r="DW19" s="64">
        <f t="shared" si="36"/>
        <v>0.93528307692307688</v>
      </c>
      <c r="DX19" s="64">
        <f t="shared" si="37"/>
        <v>0.93528307692307688</v>
      </c>
      <c r="DY19" s="64">
        <f t="shared" si="38"/>
        <v>0.93960999999999995</v>
      </c>
      <c r="DZ19" s="64">
        <f t="shared" si="39"/>
        <v>0.94135999999999997</v>
      </c>
      <c r="EA19" s="3">
        <f t="shared" si="86"/>
        <v>0.95</v>
      </c>
      <c r="EB19">
        <v>2029</v>
      </c>
      <c r="EC19" s="269">
        <f t="shared" si="87"/>
        <v>0.72793300069914957</v>
      </c>
      <c r="ED19" s="269">
        <f t="shared" si="88"/>
        <v>0.05</v>
      </c>
      <c r="EE19" s="64">
        <f t="shared" si="89"/>
        <v>8.5183786434782638E-3</v>
      </c>
      <c r="EF19" s="64">
        <f t="shared" si="90"/>
        <v>8.5183786434782638E-3</v>
      </c>
      <c r="EG19" s="64">
        <f t="shared" si="91"/>
        <v>8.5183786434782638E-3</v>
      </c>
      <c r="EH19" s="64">
        <f t="shared" si="92"/>
        <v>8.5183786434782638E-3</v>
      </c>
      <c r="EI19" s="64">
        <f t="shared" si="93"/>
        <v>4.1806337661836057E-3</v>
      </c>
      <c r="EJ19" s="64">
        <f t="shared" si="94"/>
        <v>4.1806337661836057E-3</v>
      </c>
      <c r="EK19" s="64">
        <f t="shared" si="95"/>
        <v>4.4915294117647053E-2</v>
      </c>
      <c r="EL19" s="64">
        <f t="shared" si="96"/>
        <v>7.357664233576644E-2</v>
      </c>
      <c r="EM19" s="64">
        <f t="shared" si="97"/>
        <v>3.1313868613138673E-2</v>
      </c>
      <c r="EN19" s="64">
        <f t="shared" si="98"/>
        <v>1.5109489051094882E-2</v>
      </c>
      <c r="EO19" s="64">
        <f t="shared" si="99"/>
        <v>0</v>
      </c>
      <c r="EP19" s="64">
        <f t="shared" si="100"/>
        <v>4.3269230769230616E-3</v>
      </c>
      <c r="EQ19" s="64">
        <f t="shared" si="101"/>
        <v>1.7500000000000293E-3</v>
      </c>
      <c r="ER19" s="64">
        <f t="shared" si="102"/>
        <v>8.639999999999981E-3</v>
      </c>
      <c r="EX19" s="89">
        <v>2029</v>
      </c>
      <c r="EY19" s="278">
        <f t="shared" si="103"/>
        <v>0.98</v>
      </c>
      <c r="EZ19" s="278"/>
      <c r="FA19" s="278">
        <f t="shared" si="104"/>
        <v>0.75793300069914971</v>
      </c>
      <c r="FB19" s="278">
        <f t="shared" si="41"/>
        <v>0.05</v>
      </c>
      <c r="FC19" s="64">
        <f t="shared" si="42"/>
        <v>6.3801893217391298E-2</v>
      </c>
      <c r="FD19" s="64">
        <f t="shared" si="105"/>
        <v>2.3548183006535946E-2</v>
      </c>
      <c r="FE19" s="64">
        <f t="shared" si="106"/>
        <v>7.357664233576644E-2</v>
      </c>
      <c r="FF19" s="64">
        <f t="shared" si="107"/>
        <v>3.1313868613138673E-2</v>
      </c>
      <c r="FG19" s="64">
        <f t="shared" si="108"/>
        <v>1.5109489051094882E-2</v>
      </c>
      <c r="FH19" s="64">
        <f t="shared" si="109"/>
        <v>0</v>
      </c>
      <c r="FI19" s="64">
        <f t="shared" si="110"/>
        <v>4.3269230769230616E-3</v>
      </c>
      <c r="FJ19" s="64">
        <f t="shared" si="111"/>
        <v>1.7500000000000293E-3</v>
      </c>
      <c r="FK19" s="280">
        <f t="shared" si="112"/>
        <v>8.639999999999981E-3</v>
      </c>
      <c r="FL19" s="64"/>
      <c r="FM19" s="89">
        <v>2029</v>
      </c>
      <c r="FN19" s="278">
        <f t="shared" si="113"/>
        <v>0.98</v>
      </c>
      <c r="FP19" s="278">
        <f t="shared" si="114"/>
        <v>0.76645137934262797</v>
      </c>
      <c r="FQ19" s="278">
        <f t="shared" si="115"/>
        <v>0.05</v>
      </c>
      <c r="FR19" s="64">
        <f t="shared" si="116"/>
        <v>5.1041514573913045E-2</v>
      </c>
      <c r="FS19" s="64">
        <f t="shared" si="117"/>
        <v>2.7790183006535945E-2</v>
      </c>
      <c r="FT19" s="64">
        <f t="shared" si="118"/>
        <v>7.357664233576644E-2</v>
      </c>
      <c r="FU19" s="64">
        <f t="shared" si="119"/>
        <v>3.1313868613138673E-2</v>
      </c>
      <c r="FV19" s="64">
        <f t="shared" si="120"/>
        <v>1.5109489051094882E-2</v>
      </c>
      <c r="FW19" s="64">
        <f t="shared" si="121"/>
        <v>0</v>
      </c>
      <c r="FX19" s="64">
        <f t="shared" si="122"/>
        <v>4.3269230769230616E-3</v>
      </c>
      <c r="FY19" s="64">
        <f t="shared" si="123"/>
        <v>1.7500000000000293E-3</v>
      </c>
      <c r="FZ19" s="280">
        <f t="shared" si="124"/>
        <v>8.639999999999981E-3</v>
      </c>
      <c r="GA19" s="64"/>
      <c r="GB19" s="89">
        <v>2029</v>
      </c>
      <c r="GC19" s="278">
        <f t="shared" si="125"/>
        <v>0.98</v>
      </c>
      <c r="GE19" s="278">
        <f t="shared" si="126"/>
        <v>0.77496975798610612</v>
      </c>
      <c r="GF19" s="278">
        <f t="shared" si="127"/>
        <v>0.05</v>
      </c>
      <c r="GG19" s="64">
        <f t="shared" si="128"/>
        <v>3.8281135930434779E-2</v>
      </c>
      <c r="GH19" s="64">
        <f t="shared" si="129"/>
        <v>3.2032183006535944E-2</v>
      </c>
      <c r="GI19" s="64">
        <f t="shared" si="130"/>
        <v>7.357664233576644E-2</v>
      </c>
      <c r="GJ19" s="64">
        <f t="shared" si="131"/>
        <v>3.1313868613138673E-2</v>
      </c>
      <c r="GK19" s="64">
        <f t="shared" si="132"/>
        <v>1.5109489051094882E-2</v>
      </c>
      <c r="GL19" s="64">
        <f t="shared" si="133"/>
        <v>0</v>
      </c>
      <c r="GM19" s="64">
        <f t="shared" si="134"/>
        <v>4.3269230769230616E-3</v>
      </c>
      <c r="GN19" s="64">
        <f t="shared" si="135"/>
        <v>1.7500000000000293E-3</v>
      </c>
      <c r="GO19" s="280">
        <f t="shared" si="136"/>
        <v>8.639999999999981E-3</v>
      </c>
      <c r="GP19" s="64"/>
      <c r="GQ19" s="89">
        <v>2029</v>
      </c>
      <c r="GR19" s="278">
        <f t="shared" si="137"/>
        <v>0.98</v>
      </c>
      <c r="GT19" s="278">
        <f t="shared" si="138"/>
        <v>0.7834881366295845</v>
      </c>
      <c r="GU19" s="278">
        <f t="shared" si="139"/>
        <v>0.05</v>
      </c>
      <c r="GV19" s="64">
        <f t="shared" si="140"/>
        <v>2.5520757286956526E-2</v>
      </c>
      <c r="GW19" s="64">
        <f t="shared" si="141"/>
        <v>3.627418300653594E-2</v>
      </c>
      <c r="GX19" s="64">
        <f t="shared" si="43"/>
        <v>7.357664233576644E-2</v>
      </c>
      <c r="GY19" s="64">
        <f t="shared" si="44"/>
        <v>3.1313868613138673E-2</v>
      </c>
      <c r="GZ19" s="64">
        <f t="shared" si="45"/>
        <v>1.5109489051094882E-2</v>
      </c>
      <c r="HA19" s="64">
        <f t="shared" si="46"/>
        <v>0</v>
      </c>
      <c r="HB19" s="64">
        <f t="shared" si="47"/>
        <v>4.3269230769230616E-3</v>
      </c>
      <c r="HC19" s="64">
        <f t="shared" si="48"/>
        <v>1.7500000000000293E-3</v>
      </c>
      <c r="HD19" s="280">
        <f t="shared" si="49"/>
        <v>8.639999999999981E-3</v>
      </c>
      <c r="HE19" s="64"/>
      <c r="HF19" s="89">
        <v>2029</v>
      </c>
      <c r="HG19" s="278">
        <f t="shared" si="142"/>
        <v>0.98</v>
      </c>
      <c r="HI19" s="278">
        <f t="shared" si="143"/>
        <v>0.79200651527306265</v>
      </c>
      <c r="HJ19" s="278">
        <f t="shared" si="144"/>
        <v>0.05</v>
      </c>
      <c r="HK19" s="64">
        <f t="shared" si="145"/>
        <v>1.276037864347826E-2</v>
      </c>
      <c r="HL19" s="64">
        <f t="shared" si="146"/>
        <v>4.0516183006535936E-2</v>
      </c>
      <c r="HM19" s="64">
        <f t="shared" si="147"/>
        <v>7.357664233576644E-2</v>
      </c>
      <c r="HN19" s="64">
        <f t="shared" si="148"/>
        <v>3.1313868613138673E-2</v>
      </c>
      <c r="HO19" s="64">
        <f t="shared" si="149"/>
        <v>1.5109489051094882E-2</v>
      </c>
      <c r="HP19" s="64">
        <f t="shared" si="150"/>
        <v>0</v>
      </c>
      <c r="HQ19" s="64">
        <f t="shared" si="151"/>
        <v>4.3269230769230616E-3</v>
      </c>
      <c r="HR19" s="64">
        <f t="shared" si="152"/>
        <v>1.7500000000000293E-3</v>
      </c>
      <c r="HS19" s="280">
        <f t="shared" si="153"/>
        <v>8.639999999999981E-3</v>
      </c>
      <c r="HT19" s="64"/>
      <c r="HU19" s="89">
        <v>2029</v>
      </c>
      <c r="HV19" s="278">
        <f t="shared" si="154"/>
        <v>0.98</v>
      </c>
      <c r="HX19" s="278">
        <f t="shared" si="155"/>
        <v>0.79618714903924626</v>
      </c>
      <c r="HY19" s="278">
        <f t="shared" si="156"/>
        <v>0.05</v>
      </c>
      <c r="HZ19" s="64">
        <f t="shared" si="157"/>
        <v>6.3801893217391246E-3</v>
      </c>
      <c r="IA19" s="64">
        <f t="shared" si="158"/>
        <v>4.2715738562091488E-2</v>
      </c>
      <c r="IB19" s="64">
        <f t="shared" si="159"/>
        <v>7.357664233576644E-2</v>
      </c>
      <c r="IC19" s="64">
        <f t="shared" si="160"/>
        <v>3.1313868613138673E-2</v>
      </c>
      <c r="ID19" s="64">
        <f t="shared" si="161"/>
        <v>1.5109489051094882E-2</v>
      </c>
      <c r="IE19" s="64">
        <f t="shared" si="162"/>
        <v>0</v>
      </c>
      <c r="IF19" s="64">
        <f t="shared" si="163"/>
        <v>4.3269230769230616E-3</v>
      </c>
      <c r="IG19" s="64">
        <f t="shared" si="164"/>
        <v>1.7500000000000293E-3</v>
      </c>
      <c r="IH19" s="280">
        <f t="shared" si="165"/>
        <v>8.639999999999981E-3</v>
      </c>
      <c r="II19" s="64"/>
      <c r="IJ19" s="89">
        <v>2029</v>
      </c>
      <c r="IK19" s="278">
        <f t="shared" si="166"/>
        <v>0.98</v>
      </c>
      <c r="IM19" s="278">
        <f t="shared" si="167"/>
        <v>0.80036778280542986</v>
      </c>
      <c r="IN19" s="278">
        <f t="shared" si="168"/>
        <v>0.05</v>
      </c>
      <c r="IO19" s="64">
        <v>0</v>
      </c>
      <c r="IP19" s="64">
        <f t="shared" si="169"/>
        <v>4.4915294117647039E-2</v>
      </c>
      <c r="IQ19" s="64">
        <f t="shared" si="50"/>
        <v>7.357664233576644E-2</v>
      </c>
      <c r="IR19" s="64">
        <f t="shared" si="51"/>
        <v>3.1313868613138673E-2</v>
      </c>
      <c r="IS19" s="64">
        <f t="shared" si="52"/>
        <v>1.5109489051094882E-2</v>
      </c>
      <c r="IT19" s="64">
        <f t="shared" si="53"/>
        <v>0</v>
      </c>
      <c r="IU19" s="64">
        <f t="shared" si="54"/>
        <v>4.3269230769230616E-3</v>
      </c>
      <c r="IV19" s="64">
        <f t="shared" si="55"/>
        <v>1.7500000000000293E-3</v>
      </c>
      <c r="IW19" s="280">
        <f t="shared" si="56"/>
        <v>8.639999999999981E-3</v>
      </c>
      <c r="IX19" s="3">
        <f t="shared" si="170"/>
        <v>0.69142105263157827</v>
      </c>
      <c r="IY19">
        <f t="shared" si="57"/>
        <v>2029</v>
      </c>
      <c r="IZ19" s="3">
        <f t="shared" si="171"/>
        <v>8.762242760180996</v>
      </c>
      <c r="JA19" s="353">
        <f>HLOOKUP(JA$3,'Main calculations'!JG$8:JS$39,12,FALSE)</f>
        <v>9.0912533310748351</v>
      </c>
      <c r="JB19" s="3">
        <f t="shared" si="172"/>
        <v>9.65</v>
      </c>
      <c r="JC19" s="353">
        <f t="shared" si="173"/>
        <v>10.157894736842106</v>
      </c>
      <c r="JD19" s="368">
        <f t="shared" si="174"/>
        <v>8.2130701754385953</v>
      </c>
      <c r="JE19" s="369">
        <f t="shared" si="175"/>
        <v>8.6453370267774687</v>
      </c>
      <c r="JF19" s="363">
        <f t="shared" si="176"/>
        <v>8.6051455294950046</v>
      </c>
      <c r="JG19" s="362">
        <f t="shared" si="58"/>
        <v>9.0580479257842157</v>
      </c>
      <c r="JH19" s="366">
        <f t="shared" si="59"/>
        <v>8.6366906645210921</v>
      </c>
      <c r="JI19" s="367">
        <f t="shared" si="9"/>
        <v>9.0912533310748351</v>
      </c>
      <c r="JJ19" s="363">
        <f t="shared" si="60"/>
        <v>8.6682357995471797</v>
      </c>
      <c r="JK19" s="362">
        <f t="shared" si="61"/>
        <v>9.1244587363654528</v>
      </c>
      <c r="JL19" s="366">
        <f t="shared" si="177"/>
        <v>8.6997809345732655</v>
      </c>
      <c r="JM19" s="367">
        <f t="shared" si="62"/>
        <v>9.1576641416560687</v>
      </c>
      <c r="JN19" s="363">
        <f t="shared" si="178"/>
        <v>8.7313260695993513</v>
      </c>
      <c r="JO19" s="362">
        <f t="shared" si="63"/>
        <v>9.1908695469466863</v>
      </c>
      <c r="JP19" s="366">
        <f t="shared" si="179"/>
        <v>8.7467844148901737</v>
      </c>
      <c r="JQ19" s="367">
        <f t="shared" si="64"/>
        <v>9.2071414893580776</v>
      </c>
      <c r="JR19" s="363">
        <f t="shared" si="180"/>
        <v>8.762242760180996</v>
      </c>
      <c r="JS19" s="362">
        <f t="shared" si="65"/>
        <v>9.2234134317694707</v>
      </c>
    </row>
    <row r="20" spans="1:281">
      <c r="A20" s="247"/>
      <c r="B20" s="247"/>
      <c r="C20" s="247"/>
      <c r="D20" s="247"/>
      <c r="E20" s="247"/>
      <c r="F20" s="247"/>
      <c r="H20" s="300"/>
      <c r="J20" s="301"/>
      <c r="AO20" s="89">
        <v>2030</v>
      </c>
      <c r="AP20" s="170">
        <f t="shared" si="181"/>
        <v>-9.6000000000000009E-3</v>
      </c>
      <c r="AQ20" s="170">
        <f t="shared" si="182"/>
        <v>-2.0000000000000005E-3</v>
      </c>
      <c r="AR20" s="170">
        <f t="shared" si="183"/>
        <v>-5.1923076923076914E-3</v>
      </c>
      <c r="AS20" s="170">
        <f t="shared" si="184"/>
        <v>-3.2142857142857147E-3</v>
      </c>
      <c r="AU20" s="170">
        <f t="shared" si="185"/>
        <v>-1.6788321167883216E-2</v>
      </c>
      <c r="AV20" s="170">
        <f t="shared" si="186"/>
        <v>-3.4793187347931874E-2</v>
      </c>
      <c r="AW20" s="170">
        <f t="shared" si="187"/>
        <v>-8.1751824817518234E-2</v>
      </c>
      <c r="AY20" s="170">
        <f t="shared" si="188"/>
        <v>-4.9905882352941154E-2</v>
      </c>
      <c r="AZ20" s="278">
        <f t="shared" si="189"/>
        <v>2.5137777777777767E-3</v>
      </c>
      <c r="BA20" s="284">
        <f t="shared" si="190"/>
        <v>-2.615285217391302E-2</v>
      </c>
      <c r="BB20" s="276">
        <f t="shared" si="191"/>
        <v>-1.1084214260869559E-2</v>
      </c>
      <c r="BC20" s="277">
        <f t="shared" si="192"/>
        <v>-7.4722434782608623E-3</v>
      </c>
      <c r="BD20" s="278">
        <f t="shared" si="193"/>
        <v>2.5137777777777767E-3</v>
      </c>
      <c r="BE20" s="284">
        <f t="shared" si="194"/>
        <v>-2.6152852173913062E-2</v>
      </c>
      <c r="BF20" s="276">
        <f t="shared" si="195"/>
        <v>-1.1084214260869559E-2</v>
      </c>
      <c r="BG20" s="277">
        <f t="shared" si="196"/>
        <v>-7.4722434782608753E-3</v>
      </c>
      <c r="BH20" s="278">
        <f t="shared" si="197"/>
        <v>4.8479999999999981E-3</v>
      </c>
      <c r="BI20" s="284">
        <f t="shared" si="198"/>
        <v>-5.230570434782611E-2</v>
      </c>
      <c r="BJ20" s="276">
        <f t="shared" si="199"/>
        <v>-2.2168428521739145E-2</v>
      </c>
      <c r="BK20" s="277">
        <f t="shared" si="200"/>
        <v>-1.4944486956521742E-2</v>
      </c>
      <c r="BL20" s="278">
        <f t="shared" si="201"/>
        <v>4.8479999999999981E-3</v>
      </c>
      <c r="BM20" s="284">
        <f t="shared" si="202"/>
        <v>-5.2305704347826068E-2</v>
      </c>
      <c r="BN20" s="276">
        <f t="shared" si="203"/>
        <v>-2.2168428521739111E-2</v>
      </c>
      <c r="BO20" s="277">
        <f t="shared" si="204"/>
        <v>-1.4944486956521733E-2</v>
      </c>
      <c r="BP20" s="278">
        <f t="shared" si="205"/>
        <v>4.8479999999999981E-3</v>
      </c>
      <c r="BQ20" s="284">
        <f t="shared" si="206"/>
        <v>-5.2305704347826124E-2</v>
      </c>
      <c r="BR20" s="276">
        <f t="shared" si="207"/>
        <v>-2.2168428521739142E-2</v>
      </c>
      <c r="BS20" s="277">
        <f t="shared" si="208"/>
        <v>-1.4944486956521749E-2</v>
      </c>
      <c r="BT20" s="278">
        <f t="shared" si="209"/>
        <v>4.8479999999999981E-3</v>
      </c>
      <c r="BU20" s="284">
        <f t="shared" si="210"/>
        <v>-5.2305704347826068E-2</v>
      </c>
      <c r="BV20" s="276">
        <f t="shared" si="211"/>
        <v>-2.2168428521739121E-2</v>
      </c>
      <c r="BW20" s="278">
        <f t="shared" si="212"/>
        <v>-1.494448695652173E-2</v>
      </c>
      <c r="BX20" s="391">
        <f t="shared" si="66"/>
        <v>-3.0334326797385611E-2</v>
      </c>
      <c r="BY20" s="392">
        <f t="shared" si="67"/>
        <v>-5.9777947826086968E-2</v>
      </c>
      <c r="BZ20" s="278"/>
      <c r="CB20" s="279">
        <f t="shared" si="16"/>
        <v>-0.20324580909286791</v>
      </c>
      <c r="CC20" s="64">
        <f t="shared" si="17"/>
        <v>-0.20820427479335099</v>
      </c>
      <c r="CD20" s="64">
        <f t="shared" si="18"/>
        <v>-0.21316274049383407</v>
      </c>
      <c r="CE20" s="64">
        <f t="shared" si="19"/>
        <v>-0.22325922745035581</v>
      </c>
      <c r="CF20" s="64">
        <f t="shared" si="20"/>
        <v>-0.23335571440687755</v>
      </c>
      <c r="CG20" s="64">
        <f t="shared" si="21"/>
        <v>-0.24345220136339932</v>
      </c>
      <c r="CH20" s="64">
        <f t="shared" si="22"/>
        <v>-0.25354868831992106</v>
      </c>
      <c r="CI20">
        <v>2030</v>
      </c>
      <c r="CJ20" s="240"/>
      <c r="CL20">
        <v>2030</v>
      </c>
      <c r="CM20" s="3">
        <f t="shared" si="68"/>
        <v>0.95</v>
      </c>
      <c r="CN20" s="64">
        <f t="shared" si="23"/>
        <v>0.9403999999999999</v>
      </c>
      <c r="CO20" s="64">
        <f t="shared" si="24"/>
        <v>0.9383999999999999</v>
      </c>
      <c r="CP20" s="64">
        <f t="shared" si="25"/>
        <v>0.93320769230769218</v>
      </c>
      <c r="CQ20" s="64">
        <f t="shared" si="26"/>
        <v>0.92999340659340646</v>
      </c>
      <c r="CR20" s="64">
        <f t="shared" si="27"/>
        <v>0.91320508542552326</v>
      </c>
      <c r="CS20" s="64">
        <f t="shared" si="28"/>
        <v>0.87841189807759135</v>
      </c>
      <c r="CT20" s="64">
        <f t="shared" si="29"/>
        <v>0.79666007326007315</v>
      </c>
      <c r="CU20" s="64">
        <f t="shared" si="30"/>
        <v>0.74675419090713202</v>
      </c>
      <c r="CV20" s="64">
        <f t="shared" si="31"/>
        <v>0.74926796868490975</v>
      </c>
      <c r="CW20" s="65">
        <f t="shared" si="69"/>
        <v>0.74179572520664894</v>
      </c>
      <c r="CX20" s="64">
        <f t="shared" si="70"/>
        <v>0.75178174646268747</v>
      </c>
      <c r="CY20" s="65">
        <f t="shared" si="71"/>
        <v>0.73683725950616574</v>
      </c>
      <c r="CZ20" s="64">
        <f t="shared" si="72"/>
        <v>0.75662974646268744</v>
      </c>
      <c r="DA20" s="65">
        <f t="shared" si="73"/>
        <v>0.72674077254964398</v>
      </c>
      <c r="DB20" s="64">
        <f t="shared" si="74"/>
        <v>0.7614777464626874</v>
      </c>
      <c r="DC20" s="65">
        <f t="shared" si="75"/>
        <v>0.71664428559312221</v>
      </c>
      <c r="DD20" s="64">
        <f t="shared" si="76"/>
        <v>0.76632574646268736</v>
      </c>
      <c r="DE20" s="65">
        <f t="shared" si="77"/>
        <v>0.70654779863660044</v>
      </c>
      <c r="DF20" s="64">
        <f t="shared" si="78"/>
        <v>0.77117374646268733</v>
      </c>
      <c r="DG20" s="65">
        <f t="shared" si="79"/>
        <v>0.69645131168007868</v>
      </c>
      <c r="DL20">
        <v>2030</v>
      </c>
      <c r="DM20" s="64">
        <f t="shared" si="80"/>
        <v>0.69645131168007868</v>
      </c>
      <c r="DN20" s="64">
        <f t="shared" si="81"/>
        <v>0.70654779863660044</v>
      </c>
      <c r="DO20" s="64">
        <f t="shared" si="82"/>
        <v>0.71664428559312221</v>
      </c>
      <c r="DP20" s="64">
        <f t="shared" si="83"/>
        <v>0.72674077254964398</v>
      </c>
      <c r="DQ20" s="64">
        <f t="shared" si="84"/>
        <v>0.73683725950616574</v>
      </c>
      <c r="DR20" s="64">
        <f t="shared" si="85"/>
        <v>0.74179572520664894</v>
      </c>
      <c r="DS20" s="64">
        <f t="shared" si="32"/>
        <v>0.74675419090713202</v>
      </c>
      <c r="DT20" s="64">
        <f t="shared" si="33"/>
        <v>0.79666007326007315</v>
      </c>
      <c r="DU20" s="64">
        <f t="shared" si="34"/>
        <v>0.87841189807759135</v>
      </c>
      <c r="DV20" s="64">
        <f t="shared" si="35"/>
        <v>0.91320508542552326</v>
      </c>
      <c r="DW20" s="64">
        <f t="shared" si="36"/>
        <v>0.92999340659340646</v>
      </c>
      <c r="DX20" s="64">
        <f t="shared" si="37"/>
        <v>0.93320769230769218</v>
      </c>
      <c r="DY20" s="64">
        <f t="shared" si="38"/>
        <v>0.9383999999999999</v>
      </c>
      <c r="DZ20" s="64">
        <f t="shared" si="39"/>
        <v>0.9403999999999999</v>
      </c>
      <c r="EA20" s="3">
        <f t="shared" si="86"/>
        <v>0.95</v>
      </c>
      <c r="EB20">
        <v>2030</v>
      </c>
      <c r="EC20" s="269">
        <f t="shared" si="87"/>
        <v>0.69645131168007879</v>
      </c>
      <c r="ED20" s="269">
        <f t="shared" si="88"/>
        <v>0.05</v>
      </c>
      <c r="EE20" s="64">
        <f t="shared" si="89"/>
        <v>1.0096486956521766E-2</v>
      </c>
      <c r="EF20" s="64">
        <f t="shared" si="90"/>
        <v>1.0096486956521766E-2</v>
      </c>
      <c r="EG20" s="64">
        <f t="shared" si="91"/>
        <v>1.0096486956521766E-2</v>
      </c>
      <c r="EH20" s="64">
        <f t="shared" si="92"/>
        <v>1.0096486956521766E-2</v>
      </c>
      <c r="EI20" s="64">
        <f t="shared" si="93"/>
        <v>4.9584657004831945E-3</v>
      </c>
      <c r="EJ20" s="64">
        <f t="shared" si="94"/>
        <v>4.9584657004830834E-3</v>
      </c>
      <c r="EK20" s="64">
        <f t="shared" si="95"/>
        <v>4.9905882352941133E-2</v>
      </c>
      <c r="EL20" s="64">
        <f t="shared" si="96"/>
        <v>8.1751824817518193E-2</v>
      </c>
      <c r="EM20" s="64">
        <f t="shared" si="97"/>
        <v>3.4793187347931909E-2</v>
      </c>
      <c r="EN20" s="64">
        <f t="shared" si="98"/>
        <v>1.6788321167883202E-2</v>
      </c>
      <c r="EO20" s="64">
        <f t="shared" si="99"/>
        <v>3.2142857142857251E-3</v>
      </c>
      <c r="EP20" s="64">
        <f t="shared" si="100"/>
        <v>5.1923076923077183E-3</v>
      </c>
      <c r="EQ20" s="64">
        <f t="shared" si="101"/>
        <v>2.0000000000000018E-3</v>
      </c>
      <c r="ER20" s="64">
        <f t="shared" si="102"/>
        <v>9.6000000000000529E-3</v>
      </c>
      <c r="EX20" s="89">
        <v>2030</v>
      </c>
      <c r="EY20" s="278">
        <f t="shared" si="103"/>
        <v>0.98333333333333328</v>
      </c>
      <c r="EZ20" s="278"/>
      <c r="FA20" s="278">
        <f t="shared" si="104"/>
        <v>0.72978464501341211</v>
      </c>
      <c r="FB20" s="278">
        <f t="shared" si="41"/>
        <v>0.05</v>
      </c>
      <c r="FC20" s="64">
        <f t="shared" si="42"/>
        <v>7.4722434782608704E-2</v>
      </c>
      <c r="FD20" s="64">
        <f t="shared" si="105"/>
        <v>2.5486326797385613E-2</v>
      </c>
      <c r="FE20" s="64">
        <f t="shared" si="106"/>
        <v>8.1751824817518193E-2</v>
      </c>
      <c r="FF20" s="64">
        <f t="shared" si="107"/>
        <v>3.4793187347931909E-2</v>
      </c>
      <c r="FG20" s="64">
        <f t="shared" si="108"/>
        <v>1.6788321167883202E-2</v>
      </c>
      <c r="FH20" s="64">
        <f t="shared" si="109"/>
        <v>3.2142857142857251E-3</v>
      </c>
      <c r="FI20" s="64">
        <f t="shared" si="110"/>
        <v>5.1923076923077183E-3</v>
      </c>
      <c r="FJ20" s="64">
        <f t="shared" si="111"/>
        <v>2.0000000000000018E-3</v>
      </c>
      <c r="FK20" s="280">
        <f t="shared" si="112"/>
        <v>9.6000000000000529E-3</v>
      </c>
      <c r="FL20" s="64"/>
      <c r="FM20" s="89">
        <v>2030</v>
      </c>
      <c r="FN20" s="278">
        <f t="shared" si="113"/>
        <v>0.98333333333333328</v>
      </c>
      <c r="FP20" s="278">
        <f t="shared" si="114"/>
        <v>0.73988113196993388</v>
      </c>
      <c r="FQ20" s="278">
        <f t="shared" si="115"/>
        <v>0.05</v>
      </c>
      <c r="FR20" s="64">
        <f t="shared" si="116"/>
        <v>5.9777947826086968E-2</v>
      </c>
      <c r="FS20" s="64">
        <f t="shared" si="117"/>
        <v>3.0334326797385611E-2</v>
      </c>
      <c r="FT20" s="64">
        <f t="shared" si="118"/>
        <v>8.1751824817518193E-2</v>
      </c>
      <c r="FU20" s="64">
        <f t="shared" si="119"/>
        <v>3.4793187347931909E-2</v>
      </c>
      <c r="FV20" s="64">
        <f t="shared" si="120"/>
        <v>1.6788321167883202E-2</v>
      </c>
      <c r="FW20" s="64">
        <f t="shared" si="121"/>
        <v>3.2142857142857251E-3</v>
      </c>
      <c r="FX20" s="64">
        <f t="shared" si="122"/>
        <v>5.1923076923077183E-3</v>
      </c>
      <c r="FY20" s="64">
        <f t="shared" si="123"/>
        <v>2.0000000000000018E-3</v>
      </c>
      <c r="FZ20" s="280">
        <f t="shared" si="124"/>
        <v>9.6000000000000529E-3</v>
      </c>
      <c r="GA20" s="64"/>
      <c r="GB20" s="89">
        <v>2030</v>
      </c>
      <c r="GC20" s="278">
        <f t="shared" si="125"/>
        <v>0.98333333333333328</v>
      </c>
      <c r="GE20" s="278">
        <f t="shared" si="126"/>
        <v>0.74997761892645565</v>
      </c>
      <c r="GF20" s="278">
        <f t="shared" si="127"/>
        <v>0.05</v>
      </c>
      <c r="GG20" s="64">
        <f t="shared" si="128"/>
        <v>4.4833460869565217E-2</v>
      </c>
      <c r="GH20" s="64">
        <f t="shared" si="129"/>
        <v>3.5182326797385609E-2</v>
      </c>
      <c r="GI20" s="64">
        <f t="shared" si="130"/>
        <v>8.1751824817518193E-2</v>
      </c>
      <c r="GJ20" s="64">
        <f t="shared" si="131"/>
        <v>3.4793187347931909E-2</v>
      </c>
      <c r="GK20" s="64">
        <f t="shared" si="132"/>
        <v>1.6788321167883202E-2</v>
      </c>
      <c r="GL20" s="64">
        <f t="shared" si="133"/>
        <v>3.2142857142857251E-3</v>
      </c>
      <c r="GM20" s="64">
        <f t="shared" si="134"/>
        <v>5.1923076923077183E-3</v>
      </c>
      <c r="GN20" s="64">
        <f t="shared" si="135"/>
        <v>2.0000000000000018E-3</v>
      </c>
      <c r="GO20" s="280">
        <f t="shared" si="136"/>
        <v>9.6000000000000529E-3</v>
      </c>
      <c r="GP20" s="64"/>
      <c r="GQ20" s="89">
        <v>2030</v>
      </c>
      <c r="GR20" s="278">
        <f t="shared" si="137"/>
        <v>0.98333333333333328</v>
      </c>
      <c r="GT20" s="278">
        <f t="shared" si="138"/>
        <v>0.76007410588297741</v>
      </c>
      <c r="GU20" s="278">
        <f t="shared" si="139"/>
        <v>0.05</v>
      </c>
      <c r="GV20" s="64">
        <f t="shared" si="140"/>
        <v>2.988897391304348E-2</v>
      </c>
      <c r="GW20" s="64">
        <f t="shared" si="141"/>
        <v>4.0030326797385607E-2</v>
      </c>
      <c r="GX20" s="64">
        <f t="shared" si="43"/>
        <v>8.1751824817518193E-2</v>
      </c>
      <c r="GY20" s="64">
        <f t="shared" si="44"/>
        <v>3.4793187347931909E-2</v>
      </c>
      <c r="GZ20" s="64">
        <f t="shared" si="45"/>
        <v>1.6788321167883202E-2</v>
      </c>
      <c r="HA20" s="64">
        <f t="shared" si="46"/>
        <v>3.2142857142857251E-3</v>
      </c>
      <c r="HB20" s="64">
        <f t="shared" si="47"/>
        <v>5.1923076923077183E-3</v>
      </c>
      <c r="HC20" s="64">
        <f t="shared" si="48"/>
        <v>2.0000000000000018E-3</v>
      </c>
      <c r="HD20" s="280">
        <f t="shared" si="49"/>
        <v>9.6000000000000529E-3</v>
      </c>
      <c r="HE20" s="64"/>
      <c r="HF20" s="89">
        <v>2030</v>
      </c>
      <c r="HG20" s="278">
        <f t="shared" si="142"/>
        <v>0.98333333333333328</v>
      </c>
      <c r="HI20" s="278">
        <f t="shared" si="143"/>
        <v>0.77017059283949918</v>
      </c>
      <c r="HJ20" s="278">
        <f t="shared" si="144"/>
        <v>0.05</v>
      </c>
      <c r="HK20" s="64">
        <f t="shared" si="145"/>
        <v>1.4944486956521737E-2</v>
      </c>
      <c r="HL20" s="64">
        <f t="shared" si="146"/>
        <v>4.4878326797385605E-2</v>
      </c>
      <c r="HM20" s="64">
        <f t="shared" si="147"/>
        <v>8.1751824817518193E-2</v>
      </c>
      <c r="HN20" s="64">
        <f t="shared" si="148"/>
        <v>3.4793187347931909E-2</v>
      </c>
      <c r="HO20" s="64">
        <f t="shared" si="149"/>
        <v>1.6788321167883202E-2</v>
      </c>
      <c r="HP20" s="64">
        <f t="shared" si="150"/>
        <v>3.2142857142857251E-3</v>
      </c>
      <c r="HQ20" s="64">
        <f t="shared" si="151"/>
        <v>5.1923076923077183E-3</v>
      </c>
      <c r="HR20" s="64">
        <f t="shared" si="152"/>
        <v>2.0000000000000018E-3</v>
      </c>
      <c r="HS20" s="280">
        <f t="shared" si="153"/>
        <v>9.6000000000000529E-3</v>
      </c>
      <c r="HT20" s="64"/>
      <c r="HU20" s="89">
        <v>2030</v>
      </c>
      <c r="HV20" s="278">
        <f t="shared" si="154"/>
        <v>0.98333333333333328</v>
      </c>
      <c r="HX20" s="278">
        <f t="shared" si="155"/>
        <v>0.77512905853998226</v>
      </c>
      <c r="HY20" s="278">
        <f t="shared" si="156"/>
        <v>0.05</v>
      </c>
      <c r="HZ20" s="64">
        <f t="shared" si="157"/>
        <v>7.4722434782608623E-3</v>
      </c>
      <c r="IA20" s="64">
        <f t="shared" si="158"/>
        <v>4.739210457516338E-2</v>
      </c>
      <c r="IB20" s="64">
        <f t="shared" si="159"/>
        <v>8.1751824817518193E-2</v>
      </c>
      <c r="IC20" s="64">
        <f t="shared" si="160"/>
        <v>3.4793187347931909E-2</v>
      </c>
      <c r="ID20" s="64">
        <f t="shared" si="161"/>
        <v>1.6788321167883202E-2</v>
      </c>
      <c r="IE20" s="64">
        <f t="shared" si="162"/>
        <v>3.2142857142857251E-3</v>
      </c>
      <c r="IF20" s="64">
        <f t="shared" si="163"/>
        <v>5.1923076923077183E-3</v>
      </c>
      <c r="IG20" s="64">
        <f t="shared" si="164"/>
        <v>2.0000000000000018E-3</v>
      </c>
      <c r="IH20" s="280">
        <f t="shared" si="165"/>
        <v>9.6000000000000529E-3</v>
      </c>
      <c r="II20" s="64"/>
      <c r="IJ20" s="89">
        <v>2030</v>
      </c>
      <c r="IK20" s="278">
        <f t="shared" si="166"/>
        <v>0.98333333333333328</v>
      </c>
      <c r="IM20" s="278">
        <f t="shared" si="167"/>
        <v>0.78008752424046535</v>
      </c>
      <c r="IN20" s="278">
        <f t="shared" si="168"/>
        <v>0.05</v>
      </c>
      <c r="IO20" s="64">
        <v>0</v>
      </c>
      <c r="IP20" s="64">
        <f t="shared" si="169"/>
        <v>4.9905882352941154E-2</v>
      </c>
      <c r="IQ20" s="64">
        <f t="shared" si="50"/>
        <v>8.1751824817518193E-2</v>
      </c>
      <c r="IR20" s="64">
        <f t="shared" si="51"/>
        <v>3.4793187347931909E-2</v>
      </c>
      <c r="IS20" s="64">
        <f t="shared" si="52"/>
        <v>1.6788321167883202E-2</v>
      </c>
      <c r="IT20" s="64">
        <f t="shared" si="53"/>
        <v>3.2142857142857251E-3</v>
      </c>
      <c r="IU20" s="64">
        <f t="shared" si="54"/>
        <v>5.1923076923077183E-3</v>
      </c>
      <c r="IV20" s="64">
        <f t="shared" si="55"/>
        <v>2.0000000000000018E-3</v>
      </c>
      <c r="IW20" s="280">
        <f t="shared" si="56"/>
        <v>9.6000000000000529E-3</v>
      </c>
      <c r="IX20" s="3">
        <f t="shared" si="170"/>
        <v>0.66219298245614056</v>
      </c>
      <c r="IY20">
        <f t="shared" si="57"/>
        <v>2030</v>
      </c>
      <c r="IZ20" s="3">
        <f t="shared" si="171"/>
        <v>9.5423302844214621</v>
      </c>
      <c r="JA20" s="353">
        <f>HLOOKUP(JA$3,'Main calculations'!JG$8:JS$39,13,FALSE)</f>
        <v>9.870075575253713</v>
      </c>
      <c r="JB20" s="3">
        <f t="shared" si="172"/>
        <v>10.633333333333333</v>
      </c>
      <c r="JC20" s="353">
        <f t="shared" si="173"/>
        <v>11.192982456140351</v>
      </c>
      <c r="JD20" s="368">
        <f t="shared" si="174"/>
        <v>8.8752631578947359</v>
      </c>
      <c r="JE20" s="369">
        <f t="shared" si="175"/>
        <v>9.3423822714681428</v>
      </c>
      <c r="JF20" s="363">
        <f t="shared" si="176"/>
        <v>9.3349301745084166</v>
      </c>
      <c r="JG20" s="362">
        <f t="shared" si="58"/>
        <v>9.8262422889562284</v>
      </c>
      <c r="JH20" s="366">
        <f t="shared" si="59"/>
        <v>9.3765717964910262</v>
      </c>
      <c r="JI20" s="367">
        <f t="shared" si="9"/>
        <v>9.870075575253713</v>
      </c>
      <c r="JJ20" s="363">
        <f t="shared" si="60"/>
        <v>9.4182134184736359</v>
      </c>
      <c r="JK20" s="362">
        <f t="shared" si="61"/>
        <v>9.9139088615511959</v>
      </c>
      <c r="JL20" s="366">
        <f t="shared" si="177"/>
        <v>9.4598550404562438</v>
      </c>
      <c r="JM20" s="367">
        <f t="shared" si="62"/>
        <v>9.9577421478486787</v>
      </c>
      <c r="JN20" s="363">
        <f t="shared" si="178"/>
        <v>9.5014966624388499</v>
      </c>
      <c r="JO20" s="362">
        <f t="shared" si="63"/>
        <v>10.001575434146158</v>
      </c>
      <c r="JP20" s="366">
        <f t="shared" si="179"/>
        <v>9.5219134734301552</v>
      </c>
      <c r="JQ20" s="367">
        <f t="shared" si="64"/>
        <v>10.023066814137007</v>
      </c>
      <c r="JR20" s="363">
        <f t="shared" si="180"/>
        <v>9.5423302844214621</v>
      </c>
      <c r="JS20" s="362">
        <f t="shared" si="65"/>
        <v>10.044558194127855</v>
      </c>
    </row>
    <row r="21" spans="1:281">
      <c r="A21" s="689" t="s">
        <v>104</v>
      </c>
      <c r="B21" s="689"/>
      <c r="C21" s="689"/>
      <c r="D21" s="689"/>
      <c r="E21" s="689"/>
      <c r="F21" s="689"/>
      <c r="G21" s="122"/>
      <c r="H21" s="300"/>
      <c r="J21" s="301"/>
      <c r="AO21" s="89">
        <v>2031</v>
      </c>
      <c r="AP21" s="170">
        <f t="shared" si="181"/>
        <v>-1.0560000000000002E-2</v>
      </c>
      <c r="AQ21" s="170">
        <f t="shared" si="182"/>
        <v>-2.2500000000000007E-3</v>
      </c>
      <c r="AR21" s="170">
        <f t="shared" si="183"/>
        <v>-6.0576923076923065E-3</v>
      </c>
      <c r="AS21" s="170">
        <f t="shared" si="184"/>
        <v>-6.4285714285714293E-3</v>
      </c>
      <c r="AU21" s="170">
        <f t="shared" si="185"/>
        <v>-1.8467153284671536E-2</v>
      </c>
      <c r="AV21" s="170">
        <f t="shared" si="186"/>
        <v>-3.8272506082725061E-2</v>
      </c>
      <c r="AW21" s="170">
        <f t="shared" si="187"/>
        <v>-8.9927007299270056E-2</v>
      </c>
      <c r="AY21" s="170">
        <f t="shared" si="188"/>
        <v>-5.4896470588235269E-2</v>
      </c>
      <c r="AZ21" s="278">
        <f t="shared" si="189"/>
        <v>2.8279999999999989E-3</v>
      </c>
      <c r="BA21" s="284">
        <f t="shared" si="190"/>
        <v>-2.6784947060869542E-2</v>
      </c>
      <c r="BB21" s="276">
        <f t="shared" si="191"/>
        <v>-1.2469741043478253E-2</v>
      </c>
      <c r="BC21" s="277">
        <f t="shared" si="192"/>
        <v>-8.6094472695652097E-3</v>
      </c>
      <c r="BD21" s="278">
        <f t="shared" si="193"/>
        <v>2.8279999999999989E-3</v>
      </c>
      <c r="BE21" s="284">
        <f t="shared" si="194"/>
        <v>-2.6784947060869584E-2</v>
      </c>
      <c r="BF21" s="276">
        <f t="shared" si="195"/>
        <v>-1.2469741043478253E-2</v>
      </c>
      <c r="BG21" s="277">
        <f t="shared" si="196"/>
        <v>-8.6094472695652235E-3</v>
      </c>
      <c r="BH21" s="278">
        <f t="shared" si="197"/>
        <v>5.4539999999999979E-3</v>
      </c>
      <c r="BI21" s="284">
        <f t="shared" si="198"/>
        <v>-5.3569894121739153E-2</v>
      </c>
      <c r="BJ21" s="276">
        <f t="shared" si="199"/>
        <v>-2.4939482086956538E-2</v>
      </c>
      <c r="BK21" s="277">
        <f t="shared" si="200"/>
        <v>-1.7218894539130437E-2</v>
      </c>
      <c r="BL21" s="278">
        <f t="shared" si="201"/>
        <v>5.4539999999999979E-3</v>
      </c>
      <c r="BM21" s="284">
        <f t="shared" si="202"/>
        <v>-5.3569894121739112E-2</v>
      </c>
      <c r="BN21" s="276">
        <f t="shared" si="203"/>
        <v>-2.49394820869565E-2</v>
      </c>
      <c r="BO21" s="277">
        <f t="shared" si="204"/>
        <v>-1.721889453913043E-2</v>
      </c>
      <c r="BP21" s="278">
        <f t="shared" si="205"/>
        <v>5.4539999999999979E-3</v>
      </c>
      <c r="BQ21" s="284">
        <f t="shared" si="206"/>
        <v>-5.3569894121739167E-2</v>
      </c>
      <c r="BR21" s="276">
        <f t="shared" si="207"/>
        <v>-2.4939482086956535E-2</v>
      </c>
      <c r="BS21" s="277">
        <f t="shared" si="208"/>
        <v>-1.7218894539130447E-2</v>
      </c>
      <c r="BT21" s="278">
        <f t="shared" si="209"/>
        <v>5.4539999999999979E-3</v>
      </c>
      <c r="BU21" s="284">
        <f t="shared" si="210"/>
        <v>-5.3569894121739112E-2</v>
      </c>
      <c r="BV21" s="276">
        <f t="shared" si="211"/>
        <v>-2.493948208695651E-2</v>
      </c>
      <c r="BW21" s="278">
        <f t="shared" si="212"/>
        <v>-1.7218894539130423E-2</v>
      </c>
      <c r="BX21" s="391">
        <f t="shared" si="66"/>
        <v>-3.2878470588235273E-2</v>
      </c>
      <c r="BY21" s="392">
        <f t="shared" si="67"/>
        <v>-6.8875578156521747E-2</v>
      </c>
      <c r="BZ21" s="278"/>
      <c r="CB21" s="279">
        <f t="shared" ref="CB21:CB40" si="213">SUM(AP21:AY21)</f>
        <v>-0.22685940099116567</v>
      </c>
      <c r="CC21" s="64">
        <f t="shared" ref="CC21:CC40" si="214">SUM(AP21:AZ21)+BC21</f>
        <v>-0.23264084826073089</v>
      </c>
      <c r="CD21" s="64">
        <f t="shared" ref="CD21:CD40" si="215">SUM(AP21:AZ21)+BC21+BD21+BG21</f>
        <v>-0.23842229553029612</v>
      </c>
      <c r="CE21" s="64">
        <f t="shared" ref="CE21:CE40" si="216">SUM(AP21:AZ21)+BC21+BD21+BG21+BH21+BK21</f>
        <v>-0.25018719006942658</v>
      </c>
      <c r="CF21" s="64">
        <f t="shared" ref="CF21:CF40" si="217">SUM(AP21:AZ21)+BC21+BD21+BG21+BH21+BK21+BL21+BO21</f>
        <v>-0.26195208460855701</v>
      </c>
      <c r="CG21" s="64">
        <f t="shared" ref="CG21:CG40" si="218">SUM(AP21:AZ21)+BC21+BD21+BG21+BH21+BK21+BL21+BO21+BP21+BS21</f>
        <v>-0.27371697914768744</v>
      </c>
      <c r="CH21" s="64">
        <f t="shared" ref="CH21:CH40" si="219">SUM(AP21:AZ21)+BC21+BD21+BG21+BH21+BK21+BL21+BO21+BP21+BS21+BT21+BW21</f>
        <v>-0.28548187368681788</v>
      </c>
      <c r="CI21">
        <v>2031</v>
      </c>
      <c r="CJ21" s="240"/>
      <c r="CL21">
        <v>2031</v>
      </c>
      <c r="CM21" s="3">
        <f t="shared" si="68"/>
        <v>0.95</v>
      </c>
      <c r="CN21" s="64">
        <f t="shared" si="23"/>
        <v>0.93943999999999994</v>
      </c>
      <c r="CO21" s="64">
        <f t="shared" si="24"/>
        <v>0.93718999999999997</v>
      </c>
      <c r="CP21" s="64">
        <f t="shared" si="25"/>
        <v>0.9311323076923077</v>
      </c>
      <c r="CQ21" s="64">
        <f t="shared" si="26"/>
        <v>0.92470373626373625</v>
      </c>
      <c r="CR21" s="64">
        <f t="shared" si="27"/>
        <v>0.90623658297906473</v>
      </c>
      <c r="CS21" s="64">
        <f t="shared" si="28"/>
        <v>0.8679640768963397</v>
      </c>
      <c r="CT21" s="64">
        <f t="shared" si="29"/>
        <v>0.77803706959706964</v>
      </c>
      <c r="CU21" s="64">
        <f t="shared" si="30"/>
        <v>0.72314059900883443</v>
      </c>
      <c r="CV21" s="64">
        <f t="shared" si="31"/>
        <v>0.72596859900883448</v>
      </c>
      <c r="CW21" s="65">
        <f t="shared" si="69"/>
        <v>0.71735915173926923</v>
      </c>
      <c r="CX21" s="64">
        <f t="shared" si="70"/>
        <v>0.72879659900883453</v>
      </c>
      <c r="CY21" s="65">
        <f t="shared" si="71"/>
        <v>0.71157770446970403</v>
      </c>
      <c r="CZ21" s="64">
        <f t="shared" si="72"/>
        <v>0.73425059900883449</v>
      </c>
      <c r="DA21" s="65">
        <f t="shared" si="73"/>
        <v>0.6998128099305736</v>
      </c>
      <c r="DB21" s="64">
        <f t="shared" si="74"/>
        <v>0.73970459900883445</v>
      </c>
      <c r="DC21" s="65">
        <f t="shared" si="75"/>
        <v>0.68804791539144317</v>
      </c>
      <c r="DD21" s="64">
        <f t="shared" si="76"/>
        <v>0.74515859900883441</v>
      </c>
      <c r="DE21" s="65">
        <f t="shared" si="77"/>
        <v>0.67628302085231273</v>
      </c>
      <c r="DF21" s="64">
        <f t="shared" si="78"/>
        <v>0.75061259900883437</v>
      </c>
      <c r="DG21" s="65">
        <f t="shared" si="79"/>
        <v>0.66451812631318219</v>
      </c>
      <c r="DL21">
        <v>2031</v>
      </c>
      <c r="DM21" s="64">
        <f t="shared" si="80"/>
        <v>0.66451812631318219</v>
      </c>
      <c r="DN21" s="64">
        <f t="shared" si="81"/>
        <v>0.67628302085231273</v>
      </c>
      <c r="DO21" s="64">
        <f t="shared" si="82"/>
        <v>0.68804791539144317</v>
      </c>
      <c r="DP21" s="64">
        <f t="shared" si="83"/>
        <v>0.6998128099305736</v>
      </c>
      <c r="DQ21" s="64">
        <f t="shared" si="84"/>
        <v>0.71157770446970403</v>
      </c>
      <c r="DR21" s="64">
        <f t="shared" si="85"/>
        <v>0.71735915173926923</v>
      </c>
      <c r="DS21" s="64">
        <f t="shared" si="32"/>
        <v>0.72314059900883443</v>
      </c>
      <c r="DT21" s="64">
        <f t="shared" si="33"/>
        <v>0.77803706959706964</v>
      </c>
      <c r="DU21" s="64">
        <f t="shared" si="34"/>
        <v>0.8679640768963397</v>
      </c>
      <c r="DV21" s="64">
        <f t="shared" si="35"/>
        <v>0.90623658297906473</v>
      </c>
      <c r="DW21" s="64">
        <f t="shared" si="36"/>
        <v>0.92470373626373625</v>
      </c>
      <c r="DX21" s="64">
        <f t="shared" si="37"/>
        <v>0.9311323076923077</v>
      </c>
      <c r="DY21" s="64">
        <f t="shared" si="38"/>
        <v>0.93718999999999997</v>
      </c>
      <c r="DZ21" s="64">
        <f t="shared" si="39"/>
        <v>0.93943999999999994</v>
      </c>
      <c r="EA21" s="3">
        <f t="shared" si="86"/>
        <v>0.95</v>
      </c>
      <c r="EB21">
        <v>2031</v>
      </c>
      <c r="EC21" s="269">
        <f t="shared" si="87"/>
        <v>0.6645181263131823</v>
      </c>
      <c r="ED21" s="269">
        <f t="shared" si="88"/>
        <v>0.05</v>
      </c>
      <c r="EE21" s="64">
        <f t="shared" si="89"/>
        <v>1.1764894539130544E-2</v>
      </c>
      <c r="EF21" s="64">
        <f t="shared" si="90"/>
        <v>1.1764894539130433E-2</v>
      </c>
      <c r="EG21" s="64">
        <f t="shared" si="91"/>
        <v>1.1764894539130433E-2</v>
      </c>
      <c r="EH21" s="64">
        <f t="shared" si="92"/>
        <v>1.1764894539130433E-2</v>
      </c>
      <c r="EI21" s="64">
        <f t="shared" si="93"/>
        <v>5.7814472695651986E-3</v>
      </c>
      <c r="EJ21" s="64">
        <f t="shared" si="94"/>
        <v>5.7814472695651986E-3</v>
      </c>
      <c r="EK21" s="64">
        <f t="shared" si="95"/>
        <v>5.4896470588235213E-2</v>
      </c>
      <c r="EL21" s="64">
        <f t="shared" si="96"/>
        <v>8.9927007299270056E-2</v>
      </c>
      <c r="EM21" s="64">
        <f t="shared" si="97"/>
        <v>3.8272506082725033E-2</v>
      </c>
      <c r="EN21" s="64">
        <f t="shared" si="98"/>
        <v>1.8467153284671523E-2</v>
      </c>
      <c r="EO21" s="64">
        <f t="shared" si="99"/>
        <v>6.4285714285714501E-3</v>
      </c>
      <c r="EP21" s="64">
        <f t="shared" si="100"/>
        <v>6.057692307692264E-3</v>
      </c>
      <c r="EQ21" s="64">
        <f t="shared" si="101"/>
        <v>2.2499999999999742E-3</v>
      </c>
      <c r="ER21" s="64">
        <f t="shared" si="102"/>
        <v>1.0560000000000014E-2</v>
      </c>
      <c r="EX21" s="89">
        <v>2031</v>
      </c>
      <c r="EY21" s="278">
        <f t="shared" si="103"/>
        <v>0.98666666666666658</v>
      </c>
      <c r="EZ21" s="278"/>
      <c r="FA21" s="278">
        <f t="shared" si="104"/>
        <v>0.70118479297984881</v>
      </c>
      <c r="FB21" s="278">
        <f t="shared" si="41"/>
        <v>0.05</v>
      </c>
      <c r="FC21" s="64">
        <f t="shared" si="42"/>
        <v>8.6094472695652166E-2</v>
      </c>
      <c r="FD21" s="64">
        <f t="shared" si="105"/>
        <v>2.7424470588235276E-2</v>
      </c>
      <c r="FE21" s="64">
        <f t="shared" si="106"/>
        <v>8.9927007299270056E-2</v>
      </c>
      <c r="FF21" s="64">
        <f t="shared" si="107"/>
        <v>3.8272506082725033E-2</v>
      </c>
      <c r="FG21" s="64">
        <f t="shared" si="108"/>
        <v>1.8467153284671523E-2</v>
      </c>
      <c r="FH21" s="64">
        <f t="shared" si="109"/>
        <v>6.4285714285714501E-3</v>
      </c>
      <c r="FI21" s="64">
        <f t="shared" si="110"/>
        <v>6.057692307692264E-3</v>
      </c>
      <c r="FJ21" s="64">
        <f t="shared" si="111"/>
        <v>2.2499999999999742E-3</v>
      </c>
      <c r="FK21" s="280">
        <f t="shared" si="112"/>
        <v>1.0560000000000014E-2</v>
      </c>
      <c r="FL21" s="64"/>
      <c r="FM21" s="89">
        <v>2031</v>
      </c>
      <c r="FN21" s="278">
        <f t="shared" si="113"/>
        <v>0.98666666666666658</v>
      </c>
      <c r="FP21" s="278">
        <f t="shared" si="114"/>
        <v>0.71294968751897925</v>
      </c>
      <c r="FQ21" s="278">
        <f t="shared" si="115"/>
        <v>0.05</v>
      </c>
      <c r="FR21" s="64">
        <f t="shared" si="116"/>
        <v>6.8875578156521747E-2</v>
      </c>
      <c r="FS21" s="64">
        <f t="shared" si="117"/>
        <v>3.2878470588235273E-2</v>
      </c>
      <c r="FT21" s="64">
        <f t="shared" si="118"/>
        <v>8.9927007299270056E-2</v>
      </c>
      <c r="FU21" s="64">
        <f t="shared" si="119"/>
        <v>3.8272506082725033E-2</v>
      </c>
      <c r="FV21" s="64">
        <f t="shared" si="120"/>
        <v>1.8467153284671523E-2</v>
      </c>
      <c r="FW21" s="64">
        <f t="shared" si="121"/>
        <v>6.4285714285714501E-3</v>
      </c>
      <c r="FX21" s="64">
        <f t="shared" si="122"/>
        <v>6.057692307692264E-3</v>
      </c>
      <c r="FY21" s="64">
        <f t="shared" si="123"/>
        <v>2.2499999999999742E-3</v>
      </c>
      <c r="FZ21" s="280">
        <f t="shared" si="124"/>
        <v>1.0560000000000014E-2</v>
      </c>
      <c r="GA21" s="64"/>
      <c r="GB21" s="89">
        <v>2031</v>
      </c>
      <c r="GC21" s="278">
        <f t="shared" si="125"/>
        <v>0.98666666666666658</v>
      </c>
      <c r="GE21" s="278">
        <f t="shared" si="126"/>
        <v>0.72471458205810968</v>
      </c>
      <c r="GF21" s="278">
        <f t="shared" si="127"/>
        <v>0.05</v>
      </c>
      <c r="GG21" s="64">
        <f t="shared" si="128"/>
        <v>5.16566836173913E-2</v>
      </c>
      <c r="GH21" s="64">
        <f t="shared" si="129"/>
        <v>3.8332470588235273E-2</v>
      </c>
      <c r="GI21" s="64">
        <f t="shared" si="130"/>
        <v>8.9927007299270056E-2</v>
      </c>
      <c r="GJ21" s="64">
        <f t="shared" si="131"/>
        <v>3.8272506082725033E-2</v>
      </c>
      <c r="GK21" s="64">
        <f t="shared" si="132"/>
        <v>1.8467153284671523E-2</v>
      </c>
      <c r="GL21" s="64">
        <f t="shared" si="133"/>
        <v>6.4285714285714501E-3</v>
      </c>
      <c r="GM21" s="64">
        <f t="shared" si="134"/>
        <v>6.057692307692264E-3</v>
      </c>
      <c r="GN21" s="64">
        <f t="shared" si="135"/>
        <v>2.2499999999999742E-3</v>
      </c>
      <c r="GO21" s="280">
        <f t="shared" si="136"/>
        <v>1.0560000000000014E-2</v>
      </c>
      <c r="GP21" s="64"/>
      <c r="GQ21" s="89">
        <v>2031</v>
      </c>
      <c r="GR21" s="278">
        <f t="shared" si="137"/>
        <v>0.98666666666666658</v>
      </c>
      <c r="GT21" s="278">
        <f t="shared" si="138"/>
        <v>0.73647947659724011</v>
      </c>
      <c r="GU21" s="278">
        <f t="shared" si="139"/>
        <v>0.05</v>
      </c>
      <c r="GV21" s="64">
        <f t="shared" si="140"/>
        <v>3.4437789078260866E-2</v>
      </c>
      <c r="GW21" s="64">
        <f t="shared" si="141"/>
        <v>4.3786470588235274E-2</v>
      </c>
      <c r="GX21" s="64">
        <f t="shared" si="43"/>
        <v>8.9927007299270056E-2</v>
      </c>
      <c r="GY21" s="64">
        <f t="shared" si="44"/>
        <v>3.8272506082725033E-2</v>
      </c>
      <c r="GZ21" s="64">
        <f t="shared" si="45"/>
        <v>1.8467153284671523E-2</v>
      </c>
      <c r="HA21" s="64">
        <f t="shared" si="46"/>
        <v>6.4285714285714501E-3</v>
      </c>
      <c r="HB21" s="64">
        <f t="shared" si="47"/>
        <v>6.057692307692264E-3</v>
      </c>
      <c r="HC21" s="64">
        <f t="shared" si="48"/>
        <v>2.2499999999999742E-3</v>
      </c>
      <c r="HD21" s="280">
        <f t="shared" si="49"/>
        <v>1.0560000000000014E-2</v>
      </c>
      <c r="HE21" s="64"/>
      <c r="HF21" s="89">
        <v>2031</v>
      </c>
      <c r="HG21" s="278">
        <f t="shared" si="142"/>
        <v>0.98666666666666658</v>
      </c>
      <c r="HI21" s="278">
        <f t="shared" si="143"/>
        <v>0.74824437113637055</v>
      </c>
      <c r="HJ21" s="278">
        <f t="shared" si="144"/>
        <v>0.05</v>
      </c>
      <c r="HK21" s="64">
        <f t="shared" si="145"/>
        <v>1.7218894539130433E-2</v>
      </c>
      <c r="HL21" s="64">
        <f t="shared" si="146"/>
        <v>4.9240470588235274E-2</v>
      </c>
      <c r="HM21" s="64">
        <f t="shared" si="147"/>
        <v>8.9927007299270056E-2</v>
      </c>
      <c r="HN21" s="64">
        <f t="shared" si="148"/>
        <v>3.8272506082725033E-2</v>
      </c>
      <c r="HO21" s="64">
        <f t="shared" si="149"/>
        <v>1.8467153284671523E-2</v>
      </c>
      <c r="HP21" s="64">
        <f t="shared" si="150"/>
        <v>6.4285714285714501E-3</v>
      </c>
      <c r="HQ21" s="64">
        <f t="shared" si="151"/>
        <v>6.057692307692264E-3</v>
      </c>
      <c r="HR21" s="64">
        <f t="shared" si="152"/>
        <v>2.2499999999999742E-3</v>
      </c>
      <c r="HS21" s="280">
        <f t="shared" si="153"/>
        <v>1.0560000000000014E-2</v>
      </c>
      <c r="HT21" s="64"/>
      <c r="HU21" s="89">
        <v>2031</v>
      </c>
      <c r="HV21" s="278">
        <f t="shared" si="154"/>
        <v>0.98666666666666658</v>
      </c>
      <c r="HX21" s="278">
        <f t="shared" si="155"/>
        <v>0.75402581840593585</v>
      </c>
      <c r="HY21" s="278">
        <f t="shared" si="156"/>
        <v>0.05</v>
      </c>
      <c r="HZ21" s="64">
        <f t="shared" si="157"/>
        <v>8.6094472695652097E-3</v>
      </c>
      <c r="IA21" s="64">
        <f t="shared" si="158"/>
        <v>5.2068470588235272E-2</v>
      </c>
      <c r="IB21" s="64">
        <f t="shared" si="159"/>
        <v>8.9927007299270056E-2</v>
      </c>
      <c r="IC21" s="64">
        <f t="shared" si="160"/>
        <v>3.8272506082725033E-2</v>
      </c>
      <c r="ID21" s="64">
        <f t="shared" si="161"/>
        <v>1.8467153284671523E-2</v>
      </c>
      <c r="IE21" s="64">
        <f t="shared" si="162"/>
        <v>6.4285714285714501E-3</v>
      </c>
      <c r="IF21" s="64">
        <f t="shared" si="163"/>
        <v>6.057692307692264E-3</v>
      </c>
      <c r="IG21" s="64">
        <f t="shared" si="164"/>
        <v>2.2499999999999742E-3</v>
      </c>
      <c r="IH21" s="280">
        <f t="shared" si="165"/>
        <v>1.0560000000000014E-2</v>
      </c>
      <c r="II21" s="64"/>
      <c r="IJ21" s="89">
        <v>2031</v>
      </c>
      <c r="IK21" s="278">
        <f t="shared" si="166"/>
        <v>0.98666666666666658</v>
      </c>
      <c r="IM21" s="278">
        <f t="shared" si="167"/>
        <v>0.75980726567550105</v>
      </c>
      <c r="IN21" s="278">
        <f t="shared" si="168"/>
        <v>0.05</v>
      </c>
      <c r="IO21" s="64">
        <v>0</v>
      </c>
      <c r="IP21" s="64">
        <f t="shared" si="169"/>
        <v>5.4896470588235269E-2</v>
      </c>
      <c r="IQ21" s="64">
        <f t="shared" si="50"/>
        <v>8.9927007299270056E-2</v>
      </c>
      <c r="IR21" s="64">
        <f t="shared" si="51"/>
        <v>3.8272506082725033E-2</v>
      </c>
      <c r="IS21" s="64">
        <f t="shared" si="52"/>
        <v>1.8467153284671523E-2</v>
      </c>
      <c r="IT21" s="64">
        <f t="shared" si="53"/>
        <v>6.4285714285714501E-3</v>
      </c>
      <c r="IU21" s="64">
        <f t="shared" si="54"/>
        <v>6.057692307692264E-3</v>
      </c>
      <c r="IV21" s="64">
        <f t="shared" si="55"/>
        <v>2.2499999999999742E-3</v>
      </c>
      <c r="IW21" s="280">
        <f t="shared" si="56"/>
        <v>1.0560000000000014E-2</v>
      </c>
      <c r="IX21" s="3">
        <f t="shared" si="170"/>
        <v>0.63286549707602369</v>
      </c>
      <c r="IY21">
        <f t="shared" si="57"/>
        <v>2031</v>
      </c>
      <c r="IZ21" s="3">
        <f t="shared" si="171"/>
        <v>10.302137550096964</v>
      </c>
      <c r="JA21" s="353">
        <f>HLOOKUP(JA$3,'Main calculations'!JG$8:JS$39,14,FALSE)</f>
        <v>10.620548930536847</v>
      </c>
      <c r="JB21" s="3">
        <f t="shared" si="172"/>
        <v>11.62</v>
      </c>
      <c r="JC21" s="353">
        <f t="shared" si="173"/>
        <v>12.231578947368421</v>
      </c>
      <c r="JD21" s="368">
        <f t="shared" si="174"/>
        <v>9.5081286549707595</v>
      </c>
      <c r="JE21" s="369">
        <f t="shared" si="175"/>
        <v>10.008556478916589</v>
      </c>
      <c r="JF21" s="363">
        <f t="shared" si="176"/>
        <v>10.036114967488265</v>
      </c>
      <c r="JG21" s="362">
        <f t="shared" si="58"/>
        <v>10.564331544724491</v>
      </c>
      <c r="JH21" s="366">
        <f t="shared" si="59"/>
        <v>10.089521484010005</v>
      </c>
      <c r="JI21" s="367">
        <f t="shared" si="9"/>
        <v>10.620548930536847</v>
      </c>
      <c r="JJ21" s="363">
        <f t="shared" si="60"/>
        <v>10.142928000531745</v>
      </c>
      <c r="JK21" s="362">
        <f t="shared" si="61"/>
        <v>10.676766316349205</v>
      </c>
      <c r="JL21" s="366">
        <f t="shared" si="177"/>
        <v>10.196334517053485</v>
      </c>
      <c r="JM21" s="367">
        <f t="shared" si="62"/>
        <v>10.732983702161563</v>
      </c>
      <c r="JN21" s="363">
        <f t="shared" si="178"/>
        <v>10.249741033575221</v>
      </c>
      <c r="JO21" s="362">
        <f t="shared" si="63"/>
        <v>10.789201087973918</v>
      </c>
      <c r="JP21" s="366">
        <f t="shared" si="179"/>
        <v>10.275939291836091</v>
      </c>
      <c r="JQ21" s="367">
        <f t="shared" si="64"/>
        <v>10.816778201932728</v>
      </c>
      <c r="JR21" s="363">
        <f t="shared" si="180"/>
        <v>10.302137550096964</v>
      </c>
      <c r="JS21" s="362">
        <f t="shared" si="65"/>
        <v>10.844355315891541</v>
      </c>
    </row>
    <row r="22" spans="1:281">
      <c r="A22" s="259">
        <f>'1 StrategyMix for CarbonTargets'!V22</f>
        <v>0.3</v>
      </c>
      <c r="B22" s="247"/>
      <c r="C22" s="247"/>
      <c r="D22" s="247"/>
      <c r="E22" s="293"/>
      <c r="F22" s="293"/>
      <c r="G22" s="293"/>
      <c r="H22" s="297" cm="1">
        <f t="array" ref="H22">INDEX(HdF!I9:I53,MATCH(1,(A9=HdF!A9:A53)*(A22=HdF!B9:B53),0))</f>
        <v>2.7E-2</v>
      </c>
      <c r="I22" s="298" cm="1">
        <f t="array" ref="I22">INDEX(HdF!H9:H53,MATCH(1,(A9=HdF!A9:A53)*(A22=HdF!B9:B53),0))</f>
        <v>2.4E-2</v>
      </c>
      <c r="J22" s="299" cm="1">
        <f t="array" ref="J22">INDEX(HdF!G9:G53,MATCH(1,(A9=HdF!A9:A53)*(A22=HdF!B9:B53),0))</f>
        <v>2.2499999999999999E-2</v>
      </c>
      <c r="K22" s="5"/>
      <c r="AO22" s="89">
        <v>2032</v>
      </c>
      <c r="AP22" s="170">
        <f t="shared" si="181"/>
        <v>-1.1520000000000002E-2</v>
      </c>
      <c r="AQ22" s="170">
        <f t="shared" si="182"/>
        <v>-2.5000000000000009E-3</v>
      </c>
      <c r="AR22" s="170">
        <f t="shared" si="183"/>
        <v>-6.9230769230769216E-3</v>
      </c>
      <c r="AS22" s="170">
        <f t="shared" si="184"/>
        <v>-9.642857142857144E-3</v>
      </c>
      <c r="AU22" s="170">
        <f t="shared" si="185"/>
        <v>-2.0145985401459857E-2</v>
      </c>
      <c r="AV22" s="170">
        <f t="shared" si="186"/>
        <v>-4.1751824817518247E-2</v>
      </c>
      <c r="AW22" s="170">
        <f t="shared" si="187"/>
        <v>-9.8102189781021878E-2</v>
      </c>
      <c r="AY22" s="170">
        <f t="shared" si="188"/>
        <v>-5.9887058823529384E-2</v>
      </c>
      <c r="AZ22" s="278">
        <f t="shared" si="189"/>
        <v>3.1422222222222212E-3</v>
      </c>
      <c r="BA22" s="284">
        <f t="shared" si="190"/>
        <v>-2.7417041947826064E-2</v>
      </c>
      <c r="BB22" s="276">
        <f t="shared" si="191"/>
        <v>-1.3855267826086948E-2</v>
      </c>
      <c r="BC22" s="277">
        <f t="shared" si="192"/>
        <v>-9.7918006956521642E-3</v>
      </c>
      <c r="BD22" s="278">
        <f t="shared" si="193"/>
        <v>3.1422222222222212E-3</v>
      </c>
      <c r="BE22" s="284">
        <f t="shared" si="194"/>
        <v>-2.7417041947826105E-2</v>
      </c>
      <c r="BF22" s="276">
        <f t="shared" si="195"/>
        <v>-1.3855267826086948E-2</v>
      </c>
      <c r="BG22" s="277">
        <f t="shared" si="196"/>
        <v>-9.7918006956521798E-3</v>
      </c>
      <c r="BH22" s="278">
        <f t="shared" si="197"/>
        <v>6.0599999999999977E-3</v>
      </c>
      <c r="BI22" s="284">
        <f t="shared" si="198"/>
        <v>-5.4834083895652197E-2</v>
      </c>
      <c r="BJ22" s="276">
        <f t="shared" si="199"/>
        <v>-2.7710535652173931E-2</v>
      </c>
      <c r="BK22" s="277">
        <f t="shared" si="200"/>
        <v>-1.9583601391304353E-2</v>
      </c>
      <c r="BL22" s="278">
        <f t="shared" si="201"/>
        <v>6.0599999999999977E-3</v>
      </c>
      <c r="BM22" s="284">
        <f t="shared" si="202"/>
        <v>-5.4834083895652155E-2</v>
      </c>
      <c r="BN22" s="276">
        <f t="shared" si="203"/>
        <v>-2.7710535652173889E-2</v>
      </c>
      <c r="BO22" s="277">
        <f t="shared" si="204"/>
        <v>-1.9583601391304342E-2</v>
      </c>
      <c r="BP22" s="278">
        <f t="shared" si="205"/>
        <v>6.0599999999999977E-3</v>
      </c>
      <c r="BQ22" s="284">
        <f t="shared" si="206"/>
        <v>-5.4834083895652211E-2</v>
      </c>
      <c r="BR22" s="276">
        <f t="shared" si="207"/>
        <v>-2.7710535652173927E-2</v>
      </c>
      <c r="BS22" s="277">
        <f t="shared" si="208"/>
        <v>-1.958360139130436E-2</v>
      </c>
      <c r="BT22" s="278">
        <f t="shared" si="209"/>
        <v>6.0599999999999977E-3</v>
      </c>
      <c r="BU22" s="284">
        <f t="shared" si="210"/>
        <v>-5.4834083895652155E-2</v>
      </c>
      <c r="BV22" s="276">
        <f t="shared" si="211"/>
        <v>-2.77105356521739E-2</v>
      </c>
      <c r="BW22" s="278">
        <f t="shared" si="212"/>
        <v>-1.9583601391304335E-2</v>
      </c>
      <c r="BX22" s="391">
        <f t="shared" si="66"/>
        <v>-3.5422614379084956E-2</v>
      </c>
      <c r="BY22" s="392">
        <f t="shared" si="67"/>
        <v>-7.8334405565217397E-2</v>
      </c>
      <c r="BZ22" s="278"/>
      <c r="CB22" s="279">
        <f t="shared" si="213"/>
        <v>-0.25047299288946345</v>
      </c>
      <c r="CC22" s="64">
        <f t="shared" si="214"/>
        <v>-0.2571225713628934</v>
      </c>
      <c r="CD22" s="64">
        <f t="shared" si="215"/>
        <v>-0.26377214983632336</v>
      </c>
      <c r="CE22" s="64">
        <f t="shared" si="216"/>
        <v>-0.27729575122762767</v>
      </c>
      <c r="CF22" s="64">
        <f t="shared" si="217"/>
        <v>-0.29081935261893199</v>
      </c>
      <c r="CG22" s="64">
        <f t="shared" si="218"/>
        <v>-0.30434295401023637</v>
      </c>
      <c r="CH22" s="64">
        <f t="shared" si="219"/>
        <v>-0.31786655540154068</v>
      </c>
      <c r="CI22">
        <v>2032</v>
      </c>
      <c r="CJ22" s="240"/>
      <c r="CL22">
        <v>2032</v>
      </c>
      <c r="CM22" s="3">
        <f t="shared" si="68"/>
        <v>0.95</v>
      </c>
      <c r="CN22" s="64">
        <f t="shared" si="23"/>
        <v>0.93847999999999998</v>
      </c>
      <c r="CO22" s="64">
        <f t="shared" si="24"/>
        <v>0.93598000000000003</v>
      </c>
      <c r="CP22" s="64">
        <f t="shared" si="25"/>
        <v>0.92905692307692311</v>
      </c>
      <c r="CQ22" s="64">
        <f t="shared" si="26"/>
        <v>0.91941406593406594</v>
      </c>
      <c r="CR22" s="64">
        <f t="shared" si="27"/>
        <v>0.8992680805326061</v>
      </c>
      <c r="CS22" s="64">
        <f t="shared" si="28"/>
        <v>0.85751625571508783</v>
      </c>
      <c r="CT22" s="64">
        <f t="shared" si="29"/>
        <v>0.75941406593406591</v>
      </c>
      <c r="CU22" s="64">
        <f t="shared" si="30"/>
        <v>0.6995270071105365</v>
      </c>
      <c r="CV22" s="64">
        <f t="shared" si="31"/>
        <v>0.70266922933275877</v>
      </c>
      <c r="CW22" s="65">
        <f t="shared" si="69"/>
        <v>0.69287742863710666</v>
      </c>
      <c r="CX22" s="64">
        <f t="shared" si="70"/>
        <v>0.70581145155498104</v>
      </c>
      <c r="CY22" s="65">
        <f t="shared" si="71"/>
        <v>0.6862278501636766</v>
      </c>
      <c r="CZ22" s="64">
        <f t="shared" si="72"/>
        <v>0.71187145155498099</v>
      </c>
      <c r="DA22" s="65">
        <f t="shared" si="73"/>
        <v>0.67270424877237223</v>
      </c>
      <c r="DB22" s="64">
        <f t="shared" si="74"/>
        <v>0.71793145155498095</v>
      </c>
      <c r="DC22" s="65">
        <f t="shared" si="75"/>
        <v>0.65918064738106785</v>
      </c>
      <c r="DD22" s="64">
        <f t="shared" si="76"/>
        <v>0.7239914515549809</v>
      </c>
      <c r="DE22" s="65">
        <f t="shared" si="77"/>
        <v>0.64565704598976348</v>
      </c>
      <c r="DF22" s="64">
        <f t="shared" si="78"/>
        <v>0.73005145155498086</v>
      </c>
      <c r="DG22" s="65">
        <f t="shared" si="79"/>
        <v>0.6321334445984591</v>
      </c>
      <c r="DL22">
        <v>2032</v>
      </c>
      <c r="DM22" s="64">
        <f t="shared" si="80"/>
        <v>0.6321334445984591</v>
      </c>
      <c r="DN22" s="64">
        <f t="shared" si="81"/>
        <v>0.64565704598976348</v>
      </c>
      <c r="DO22" s="64">
        <f t="shared" si="82"/>
        <v>0.65918064738106785</v>
      </c>
      <c r="DP22" s="64">
        <f t="shared" si="83"/>
        <v>0.67270424877237223</v>
      </c>
      <c r="DQ22" s="64">
        <f t="shared" si="84"/>
        <v>0.6862278501636766</v>
      </c>
      <c r="DR22" s="64">
        <f t="shared" si="85"/>
        <v>0.69287742863710666</v>
      </c>
      <c r="DS22" s="64">
        <f t="shared" si="32"/>
        <v>0.6995270071105365</v>
      </c>
      <c r="DT22" s="64">
        <f t="shared" si="33"/>
        <v>0.75941406593406591</v>
      </c>
      <c r="DU22" s="64">
        <f t="shared" si="34"/>
        <v>0.85751625571508783</v>
      </c>
      <c r="DV22" s="64">
        <f t="shared" si="35"/>
        <v>0.8992680805326061</v>
      </c>
      <c r="DW22" s="64">
        <f t="shared" si="36"/>
        <v>0.91941406593406594</v>
      </c>
      <c r="DX22" s="64">
        <f t="shared" si="37"/>
        <v>0.92905692307692311</v>
      </c>
      <c r="DY22" s="64">
        <f t="shared" si="38"/>
        <v>0.93598000000000003</v>
      </c>
      <c r="DZ22" s="64">
        <f t="shared" si="39"/>
        <v>0.93847999999999998</v>
      </c>
      <c r="EA22" s="3">
        <f t="shared" si="86"/>
        <v>0.95</v>
      </c>
      <c r="EB22">
        <v>2032</v>
      </c>
      <c r="EC22" s="269">
        <f t="shared" si="87"/>
        <v>0.63213344459845922</v>
      </c>
      <c r="ED22" s="269">
        <f t="shared" si="88"/>
        <v>0.05</v>
      </c>
      <c r="EE22" s="64">
        <f t="shared" si="89"/>
        <v>1.3523601391304374E-2</v>
      </c>
      <c r="EF22" s="64">
        <f t="shared" si="90"/>
        <v>1.3523601391304374E-2</v>
      </c>
      <c r="EG22" s="64">
        <f t="shared" si="91"/>
        <v>1.3523601391304374E-2</v>
      </c>
      <c r="EH22" s="64">
        <f t="shared" si="92"/>
        <v>1.3523601391304374E-2</v>
      </c>
      <c r="EI22" s="64">
        <f t="shared" si="93"/>
        <v>6.6495784734300623E-3</v>
      </c>
      <c r="EJ22" s="64">
        <f t="shared" si="94"/>
        <v>6.6495784734298402E-3</v>
      </c>
      <c r="EK22" s="64">
        <f t="shared" si="95"/>
        <v>5.9887058823529404E-2</v>
      </c>
      <c r="EL22" s="64">
        <f t="shared" si="96"/>
        <v>9.810218978102192E-2</v>
      </c>
      <c r="EM22" s="64">
        <f t="shared" si="97"/>
        <v>4.1751824817518268E-2</v>
      </c>
      <c r="EN22" s="64">
        <f t="shared" si="98"/>
        <v>2.0145985401459843E-2</v>
      </c>
      <c r="EO22" s="64">
        <f t="shared" si="99"/>
        <v>9.6428571428571752E-3</v>
      </c>
      <c r="EP22" s="64">
        <f t="shared" si="100"/>
        <v>6.9230769230769207E-3</v>
      </c>
      <c r="EQ22" s="64">
        <f t="shared" si="101"/>
        <v>2.4999999999999467E-3</v>
      </c>
      <c r="ER22" s="64">
        <f t="shared" si="102"/>
        <v>1.1519999999999975E-2</v>
      </c>
      <c r="EX22" s="89">
        <v>2032</v>
      </c>
      <c r="EY22" s="278">
        <f t="shared" si="103"/>
        <v>0.99</v>
      </c>
      <c r="EZ22" s="278"/>
      <c r="FA22" s="278">
        <f t="shared" si="104"/>
        <v>0.67213344459845925</v>
      </c>
      <c r="FB22" s="278">
        <f t="shared" si="41"/>
        <v>0.05</v>
      </c>
      <c r="FC22" s="64">
        <f t="shared" si="42"/>
        <v>9.7918006956521725E-2</v>
      </c>
      <c r="FD22" s="64">
        <f t="shared" si="105"/>
        <v>2.936261437908496E-2</v>
      </c>
      <c r="FE22" s="64">
        <f t="shared" si="106"/>
        <v>9.810218978102192E-2</v>
      </c>
      <c r="FF22" s="64">
        <f t="shared" si="107"/>
        <v>4.1751824817518268E-2</v>
      </c>
      <c r="FG22" s="64">
        <f t="shared" si="108"/>
        <v>2.0145985401459843E-2</v>
      </c>
      <c r="FH22" s="64">
        <f t="shared" si="109"/>
        <v>9.6428571428571752E-3</v>
      </c>
      <c r="FI22" s="64">
        <f t="shared" si="110"/>
        <v>6.9230769230769207E-3</v>
      </c>
      <c r="FJ22" s="64">
        <f t="shared" si="111"/>
        <v>2.4999999999999467E-3</v>
      </c>
      <c r="FK22" s="280">
        <f t="shared" si="112"/>
        <v>1.1519999999999975E-2</v>
      </c>
      <c r="FL22" s="64"/>
      <c r="FM22" s="89">
        <v>2032</v>
      </c>
      <c r="FN22" s="278">
        <f t="shared" si="113"/>
        <v>0.99</v>
      </c>
      <c r="FP22" s="278">
        <f t="shared" si="114"/>
        <v>0.68565704598976362</v>
      </c>
      <c r="FQ22" s="278">
        <f t="shared" si="115"/>
        <v>0.05</v>
      </c>
      <c r="FR22" s="64">
        <f t="shared" si="116"/>
        <v>7.8334405565217397E-2</v>
      </c>
      <c r="FS22" s="64">
        <f t="shared" si="117"/>
        <v>3.5422614379084956E-2</v>
      </c>
      <c r="FT22" s="64">
        <f t="shared" si="118"/>
        <v>9.810218978102192E-2</v>
      </c>
      <c r="FU22" s="64">
        <f t="shared" si="119"/>
        <v>4.1751824817518268E-2</v>
      </c>
      <c r="FV22" s="64">
        <f t="shared" si="120"/>
        <v>2.0145985401459843E-2</v>
      </c>
      <c r="FW22" s="64">
        <f t="shared" si="121"/>
        <v>9.6428571428571752E-3</v>
      </c>
      <c r="FX22" s="64">
        <f t="shared" si="122"/>
        <v>6.9230769230769207E-3</v>
      </c>
      <c r="FY22" s="64">
        <f t="shared" si="123"/>
        <v>2.4999999999999467E-3</v>
      </c>
      <c r="FZ22" s="280">
        <f t="shared" si="124"/>
        <v>1.1519999999999975E-2</v>
      </c>
      <c r="GA22" s="64"/>
      <c r="GB22" s="89">
        <v>2032</v>
      </c>
      <c r="GC22" s="278">
        <f t="shared" si="125"/>
        <v>0.99</v>
      </c>
      <c r="GE22" s="278">
        <f t="shared" si="126"/>
        <v>0.699180647381068</v>
      </c>
      <c r="GF22" s="278">
        <f t="shared" si="127"/>
        <v>0.05</v>
      </c>
      <c r="GG22" s="64">
        <f t="shared" si="128"/>
        <v>5.875080417391304E-2</v>
      </c>
      <c r="GH22" s="64">
        <f t="shared" si="129"/>
        <v>4.1482614379084952E-2</v>
      </c>
      <c r="GI22" s="64">
        <f t="shared" si="130"/>
        <v>9.810218978102192E-2</v>
      </c>
      <c r="GJ22" s="64">
        <f t="shared" si="131"/>
        <v>4.1751824817518268E-2</v>
      </c>
      <c r="GK22" s="64">
        <f t="shared" si="132"/>
        <v>2.0145985401459843E-2</v>
      </c>
      <c r="GL22" s="64">
        <f t="shared" si="133"/>
        <v>9.6428571428571752E-3</v>
      </c>
      <c r="GM22" s="64">
        <f t="shared" si="134"/>
        <v>6.9230769230769207E-3</v>
      </c>
      <c r="GN22" s="64">
        <f t="shared" si="135"/>
        <v>2.4999999999999467E-3</v>
      </c>
      <c r="GO22" s="280">
        <f t="shared" si="136"/>
        <v>1.1519999999999975E-2</v>
      </c>
      <c r="GP22" s="64"/>
      <c r="GQ22" s="89">
        <v>2032</v>
      </c>
      <c r="GR22" s="278">
        <f t="shared" si="137"/>
        <v>0.99</v>
      </c>
      <c r="GT22" s="278">
        <f t="shared" si="138"/>
        <v>0.71270424877237226</v>
      </c>
      <c r="GU22" s="278">
        <f t="shared" si="139"/>
        <v>0.05</v>
      </c>
      <c r="GV22" s="64">
        <f t="shared" si="140"/>
        <v>3.9167202782608698E-2</v>
      </c>
      <c r="GW22" s="64">
        <f t="shared" si="141"/>
        <v>4.7542614379084948E-2</v>
      </c>
      <c r="GX22" s="64">
        <f t="shared" si="43"/>
        <v>9.810218978102192E-2</v>
      </c>
      <c r="GY22" s="64">
        <f t="shared" si="44"/>
        <v>4.1751824817518268E-2</v>
      </c>
      <c r="GZ22" s="64">
        <f t="shared" si="45"/>
        <v>2.0145985401459843E-2</v>
      </c>
      <c r="HA22" s="64">
        <f t="shared" si="46"/>
        <v>9.6428571428571752E-3</v>
      </c>
      <c r="HB22" s="64">
        <f t="shared" si="47"/>
        <v>6.9230769230769207E-3</v>
      </c>
      <c r="HC22" s="64">
        <f t="shared" si="48"/>
        <v>2.4999999999999467E-3</v>
      </c>
      <c r="HD22" s="280">
        <f t="shared" si="49"/>
        <v>1.1519999999999975E-2</v>
      </c>
      <c r="HE22" s="64"/>
      <c r="HF22" s="89">
        <v>2032</v>
      </c>
      <c r="HG22" s="278">
        <f t="shared" si="142"/>
        <v>0.99</v>
      </c>
      <c r="HI22" s="278">
        <f t="shared" si="143"/>
        <v>0.72622785016367664</v>
      </c>
      <c r="HJ22" s="278">
        <f t="shared" si="144"/>
        <v>0.05</v>
      </c>
      <c r="HK22" s="64">
        <f t="shared" si="145"/>
        <v>1.9583601391304342E-2</v>
      </c>
      <c r="HL22" s="64">
        <f t="shared" si="146"/>
        <v>5.3602614379084944E-2</v>
      </c>
      <c r="HM22" s="64">
        <f t="shared" si="147"/>
        <v>9.810218978102192E-2</v>
      </c>
      <c r="HN22" s="64">
        <f t="shared" si="148"/>
        <v>4.1751824817518268E-2</v>
      </c>
      <c r="HO22" s="64">
        <f t="shared" si="149"/>
        <v>2.0145985401459843E-2</v>
      </c>
      <c r="HP22" s="64">
        <f t="shared" si="150"/>
        <v>9.6428571428571752E-3</v>
      </c>
      <c r="HQ22" s="64">
        <f t="shared" si="151"/>
        <v>6.9230769230769207E-3</v>
      </c>
      <c r="HR22" s="64">
        <f t="shared" si="152"/>
        <v>2.4999999999999467E-3</v>
      </c>
      <c r="HS22" s="280">
        <f t="shared" si="153"/>
        <v>1.1519999999999975E-2</v>
      </c>
      <c r="HT22" s="64"/>
      <c r="HU22" s="89">
        <v>2032</v>
      </c>
      <c r="HV22" s="278">
        <f t="shared" si="154"/>
        <v>0.99</v>
      </c>
      <c r="HX22" s="278">
        <f t="shared" si="155"/>
        <v>0.73287742863710659</v>
      </c>
      <c r="HY22" s="278">
        <f t="shared" si="156"/>
        <v>0.05</v>
      </c>
      <c r="HZ22" s="64">
        <f t="shared" si="157"/>
        <v>9.7918006956521642E-3</v>
      </c>
      <c r="IA22" s="64">
        <f t="shared" si="158"/>
        <v>5.6744836601307164E-2</v>
      </c>
      <c r="IB22" s="64">
        <f t="shared" si="159"/>
        <v>9.810218978102192E-2</v>
      </c>
      <c r="IC22" s="64">
        <f t="shared" si="160"/>
        <v>4.1751824817518268E-2</v>
      </c>
      <c r="ID22" s="64">
        <f t="shared" si="161"/>
        <v>2.0145985401459843E-2</v>
      </c>
      <c r="IE22" s="64">
        <f t="shared" si="162"/>
        <v>9.6428571428571752E-3</v>
      </c>
      <c r="IF22" s="64">
        <f t="shared" si="163"/>
        <v>6.9230769230769207E-3</v>
      </c>
      <c r="IG22" s="64">
        <f t="shared" si="164"/>
        <v>2.4999999999999467E-3</v>
      </c>
      <c r="IH22" s="280">
        <f t="shared" si="165"/>
        <v>1.1519999999999975E-2</v>
      </c>
      <c r="II22" s="64"/>
      <c r="IJ22" s="89">
        <v>2032</v>
      </c>
      <c r="IK22" s="278">
        <f t="shared" si="166"/>
        <v>0.99</v>
      </c>
      <c r="IM22" s="278">
        <f t="shared" si="167"/>
        <v>0.73952700711053654</v>
      </c>
      <c r="IN22" s="278">
        <f t="shared" si="168"/>
        <v>0.05</v>
      </c>
      <c r="IO22" s="64">
        <v>0</v>
      </c>
      <c r="IP22" s="64">
        <f t="shared" si="169"/>
        <v>5.9887058823529384E-2</v>
      </c>
      <c r="IQ22" s="64">
        <f t="shared" si="50"/>
        <v>9.810218978102192E-2</v>
      </c>
      <c r="IR22" s="64">
        <f t="shared" si="51"/>
        <v>4.1751824817518268E-2</v>
      </c>
      <c r="IS22" s="64">
        <f t="shared" si="52"/>
        <v>2.0145985401459843E-2</v>
      </c>
      <c r="IT22" s="64">
        <f t="shared" si="53"/>
        <v>9.6428571428571752E-3</v>
      </c>
      <c r="IU22" s="64">
        <f t="shared" si="54"/>
        <v>6.9230769230769207E-3</v>
      </c>
      <c r="IV22" s="64">
        <f t="shared" si="55"/>
        <v>2.4999999999999467E-3</v>
      </c>
      <c r="IW22" s="280">
        <f t="shared" si="56"/>
        <v>1.1519999999999975E-2</v>
      </c>
      <c r="IX22" s="3">
        <f t="shared" si="170"/>
        <v>0.60343859649122855</v>
      </c>
      <c r="IY22">
        <f t="shared" si="57"/>
        <v>2032</v>
      </c>
      <c r="IZ22" s="3">
        <f t="shared" si="171"/>
        <v>11.041664557207501</v>
      </c>
      <c r="JA22" s="353">
        <f>HLOOKUP(JA$3,'Main calculations'!JG$8:JS$39,15,FALSE)</f>
        <v>11.342293189473441</v>
      </c>
      <c r="JB22" s="3">
        <f t="shared" si="172"/>
        <v>12.61</v>
      </c>
      <c r="JC22" s="353">
        <f t="shared" si="173"/>
        <v>13.273684210526316</v>
      </c>
      <c r="JD22" s="368">
        <f t="shared" si="174"/>
        <v>10.111567251461988</v>
      </c>
      <c r="JE22" s="369">
        <f t="shared" si="175"/>
        <v>10.643755001538935</v>
      </c>
      <c r="JF22" s="363">
        <f t="shared" si="176"/>
        <v>10.708248412086725</v>
      </c>
      <c r="JG22" s="362">
        <f t="shared" si="58"/>
        <v>11.2718404337755</v>
      </c>
      <c r="JH22" s="366">
        <f t="shared" si="59"/>
        <v>10.775178529999769</v>
      </c>
      <c r="JI22" s="367">
        <f t="shared" si="9"/>
        <v>11.342293189473441</v>
      </c>
      <c r="JJ22" s="363">
        <f t="shared" si="60"/>
        <v>10.842108647912813</v>
      </c>
      <c r="JK22" s="362">
        <f t="shared" si="61"/>
        <v>11.412745945171382</v>
      </c>
      <c r="JL22" s="366">
        <f t="shared" si="177"/>
        <v>10.909038765825857</v>
      </c>
      <c r="JM22" s="367">
        <f t="shared" si="62"/>
        <v>11.483198700869323</v>
      </c>
      <c r="JN22" s="363">
        <f t="shared" si="178"/>
        <v>10.975968883738897</v>
      </c>
      <c r="JO22" s="362">
        <f t="shared" si="63"/>
        <v>11.553651456567261</v>
      </c>
      <c r="JP22" s="366">
        <f t="shared" si="179"/>
        <v>11.008816720473197</v>
      </c>
      <c r="JQ22" s="367">
        <f t="shared" si="64"/>
        <v>11.588228126813892</v>
      </c>
      <c r="JR22" s="363">
        <f t="shared" si="180"/>
        <v>11.041664557207501</v>
      </c>
      <c r="JS22" s="362">
        <f t="shared" si="65"/>
        <v>11.622804797060528</v>
      </c>
    </row>
    <row r="23" spans="1:281">
      <c r="A23" s="247"/>
      <c r="B23" s="247"/>
      <c r="C23" s="247"/>
      <c r="D23" s="247"/>
      <c r="E23" s="247"/>
      <c r="F23" s="247"/>
      <c r="H23" s="300"/>
      <c r="J23" s="301"/>
      <c r="AO23" s="89">
        <v>2033</v>
      </c>
      <c r="AP23" s="170">
        <f t="shared" si="181"/>
        <v>-1.2480000000000003E-2</v>
      </c>
      <c r="AQ23" s="170">
        <f t="shared" si="182"/>
        <v>-2.7500000000000011E-3</v>
      </c>
      <c r="AR23" s="170">
        <f t="shared" si="183"/>
        <v>-7.7884615384615366E-3</v>
      </c>
      <c r="AS23" s="170">
        <f t="shared" si="184"/>
        <v>-1.2857142857142859E-2</v>
      </c>
      <c r="AU23" s="170">
        <f t="shared" si="185"/>
        <v>-2.1824817518248177E-2</v>
      </c>
      <c r="AV23" s="170">
        <f t="shared" si="186"/>
        <v>-4.5231143552311434E-2</v>
      </c>
      <c r="AW23" s="170">
        <f t="shared" si="187"/>
        <v>-0.1062773722627737</v>
      </c>
      <c r="AY23" s="170">
        <f t="shared" si="188"/>
        <v>-6.4877647058823498E-2</v>
      </c>
      <c r="AZ23" s="278">
        <f t="shared" si="189"/>
        <v>3.4564444444444434E-3</v>
      </c>
      <c r="BA23" s="284">
        <f t="shared" si="190"/>
        <v>-2.8049136834782586E-2</v>
      </c>
      <c r="BB23" s="276">
        <f t="shared" si="191"/>
        <v>-1.5240794608695643E-2</v>
      </c>
      <c r="BC23" s="277">
        <f t="shared" si="192"/>
        <v>-1.101930375652173E-2</v>
      </c>
      <c r="BD23" s="278">
        <f t="shared" si="193"/>
        <v>3.4564444444444434E-3</v>
      </c>
      <c r="BE23" s="284">
        <f t="shared" si="194"/>
        <v>-2.8049136834782627E-2</v>
      </c>
      <c r="BF23" s="276">
        <f t="shared" si="195"/>
        <v>-1.5240794608695643E-2</v>
      </c>
      <c r="BG23" s="277">
        <f t="shared" si="196"/>
        <v>-1.1019303756521746E-2</v>
      </c>
      <c r="BH23" s="278">
        <f t="shared" si="197"/>
        <v>6.6659999999999974E-3</v>
      </c>
      <c r="BI23" s="284">
        <f t="shared" si="198"/>
        <v>-5.6098273669565241E-2</v>
      </c>
      <c r="BJ23" s="276">
        <f t="shared" si="199"/>
        <v>-3.0481589217391324E-2</v>
      </c>
      <c r="BK23" s="277">
        <f t="shared" si="200"/>
        <v>-2.2038607513043481E-2</v>
      </c>
      <c r="BL23" s="278">
        <f t="shared" si="201"/>
        <v>6.6659999999999974E-3</v>
      </c>
      <c r="BM23" s="284">
        <f t="shared" si="202"/>
        <v>-5.6098273669565199E-2</v>
      </c>
      <c r="BN23" s="276">
        <f t="shared" si="203"/>
        <v>-3.0481589217391278E-2</v>
      </c>
      <c r="BO23" s="277">
        <f t="shared" si="204"/>
        <v>-2.2038607513043474E-2</v>
      </c>
      <c r="BP23" s="278">
        <f t="shared" si="205"/>
        <v>6.6659999999999974E-3</v>
      </c>
      <c r="BQ23" s="284">
        <f t="shared" si="206"/>
        <v>-5.6098273669565255E-2</v>
      </c>
      <c r="BR23" s="276">
        <f t="shared" si="207"/>
        <v>-3.048158921739132E-2</v>
      </c>
      <c r="BS23" s="277">
        <f t="shared" si="208"/>
        <v>-2.2038607513043495E-2</v>
      </c>
      <c r="BT23" s="278">
        <f t="shared" si="209"/>
        <v>6.6659999999999974E-3</v>
      </c>
      <c r="BU23" s="284">
        <f t="shared" si="210"/>
        <v>-5.6098273669565199E-2</v>
      </c>
      <c r="BV23" s="276">
        <f t="shared" si="211"/>
        <v>-3.0481589217391289E-2</v>
      </c>
      <c r="BW23" s="278">
        <f t="shared" si="212"/>
        <v>-2.2038607513043464E-2</v>
      </c>
      <c r="BX23" s="391">
        <f t="shared" si="66"/>
        <v>-3.7966758169934618E-2</v>
      </c>
      <c r="BY23" s="392">
        <f t="shared" si="67"/>
        <v>-8.8154430052173924E-2</v>
      </c>
      <c r="BZ23" s="278"/>
      <c r="CB23" s="279">
        <f t="shared" si="213"/>
        <v>-0.27408658478776121</v>
      </c>
      <c r="CC23" s="64">
        <f t="shared" si="214"/>
        <v>-0.2816494440998385</v>
      </c>
      <c r="CD23" s="64">
        <f t="shared" si="215"/>
        <v>-0.28921230341191584</v>
      </c>
      <c r="CE23" s="64">
        <f t="shared" si="216"/>
        <v>-0.30458491092495932</v>
      </c>
      <c r="CF23" s="64">
        <f t="shared" si="217"/>
        <v>-0.3199575184380028</v>
      </c>
      <c r="CG23" s="64">
        <f t="shared" si="218"/>
        <v>-0.33533012595104628</v>
      </c>
      <c r="CH23" s="64">
        <f t="shared" si="219"/>
        <v>-0.35070273346408976</v>
      </c>
      <c r="CI23">
        <v>2033</v>
      </c>
      <c r="CJ23" s="240"/>
      <c r="CL23">
        <v>2033</v>
      </c>
      <c r="CM23" s="3">
        <f t="shared" si="68"/>
        <v>0.95</v>
      </c>
      <c r="CN23" s="64">
        <f t="shared" si="23"/>
        <v>0.93751999999999991</v>
      </c>
      <c r="CO23" s="64">
        <f t="shared" si="24"/>
        <v>0.93476999999999988</v>
      </c>
      <c r="CP23" s="64">
        <f t="shared" si="25"/>
        <v>0.9269815384615383</v>
      </c>
      <c r="CQ23" s="64">
        <f t="shared" si="26"/>
        <v>0.9141243956043954</v>
      </c>
      <c r="CR23" s="64">
        <f t="shared" si="27"/>
        <v>0.89229957808614724</v>
      </c>
      <c r="CS23" s="64">
        <f t="shared" si="28"/>
        <v>0.84706843453383585</v>
      </c>
      <c r="CT23" s="64">
        <f t="shared" si="29"/>
        <v>0.74079106227106217</v>
      </c>
      <c r="CU23" s="64">
        <f t="shared" si="30"/>
        <v>0.67591341521223869</v>
      </c>
      <c r="CV23" s="64">
        <f t="shared" si="31"/>
        <v>0.67936985965668317</v>
      </c>
      <c r="CW23" s="65">
        <f t="shared" si="69"/>
        <v>0.66835055590016146</v>
      </c>
      <c r="CX23" s="64">
        <f t="shared" si="70"/>
        <v>0.68282630410112766</v>
      </c>
      <c r="CY23" s="65">
        <f t="shared" si="71"/>
        <v>0.66078769658808423</v>
      </c>
      <c r="CZ23" s="64">
        <f t="shared" si="72"/>
        <v>0.68949230410112761</v>
      </c>
      <c r="DA23" s="65">
        <f t="shared" si="73"/>
        <v>0.64541508907504075</v>
      </c>
      <c r="DB23" s="64">
        <f t="shared" si="74"/>
        <v>0.69615830410112756</v>
      </c>
      <c r="DC23" s="65">
        <f t="shared" si="75"/>
        <v>0.63004248156199727</v>
      </c>
      <c r="DD23" s="64">
        <f t="shared" si="76"/>
        <v>0.70282430410112751</v>
      </c>
      <c r="DE23" s="65">
        <f t="shared" si="77"/>
        <v>0.61466987404895368</v>
      </c>
      <c r="DF23" s="64">
        <f t="shared" si="78"/>
        <v>0.70949030410112746</v>
      </c>
      <c r="DG23" s="65">
        <f t="shared" si="79"/>
        <v>0.5992972665359102</v>
      </c>
      <c r="DL23">
        <v>2033</v>
      </c>
      <c r="DM23" s="64">
        <f t="shared" si="80"/>
        <v>0.5992972665359102</v>
      </c>
      <c r="DN23" s="64">
        <f t="shared" si="81"/>
        <v>0.61466987404895368</v>
      </c>
      <c r="DO23" s="64">
        <f t="shared" si="82"/>
        <v>0.63004248156199727</v>
      </c>
      <c r="DP23" s="64">
        <f t="shared" si="83"/>
        <v>0.64541508907504075</v>
      </c>
      <c r="DQ23" s="64">
        <f t="shared" si="84"/>
        <v>0.66078769658808423</v>
      </c>
      <c r="DR23" s="64">
        <f t="shared" si="85"/>
        <v>0.66835055590016146</v>
      </c>
      <c r="DS23" s="64">
        <f t="shared" si="32"/>
        <v>0.67591341521223869</v>
      </c>
      <c r="DT23" s="64">
        <f t="shared" si="33"/>
        <v>0.74079106227106217</v>
      </c>
      <c r="DU23" s="64">
        <f t="shared" si="34"/>
        <v>0.84706843453383585</v>
      </c>
      <c r="DV23" s="64">
        <f t="shared" si="35"/>
        <v>0.89229957808614724</v>
      </c>
      <c r="DW23" s="64">
        <f t="shared" si="36"/>
        <v>0.9141243956043954</v>
      </c>
      <c r="DX23" s="64">
        <f t="shared" si="37"/>
        <v>0.9269815384615383</v>
      </c>
      <c r="DY23" s="64">
        <f t="shared" si="38"/>
        <v>0.93476999999999988</v>
      </c>
      <c r="DZ23" s="64">
        <f t="shared" si="39"/>
        <v>0.93751999999999991</v>
      </c>
      <c r="EA23" s="3">
        <f t="shared" si="86"/>
        <v>0.95</v>
      </c>
      <c r="EB23">
        <v>2033</v>
      </c>
      <c r="EC23" s="269">
        <f t="shared" si="87"/>
        <v>0.5992972665359102</v>
      </c>
      <c r="ED23" s="269">
        <f t="shared" si="88"/>
        <v>0.05</v>
      </c>
      <c r="EE23" s="64">
        <f t="shared" si="89"/>
        <v>1.5372607513043479E-2</v>
      </c>
      <c r="EF23" s="64">
        <f t="shared" si="90"/>
        <v>1.537260751304359E-2</v>
      </c>
      <c r="EG23" s="64">
        <f t="shared" si="91"/>
        <v>1.5372607513043479E-2</v>
      </c>
      <c r="EH23" s="64">
        <f t="shared" si="92"/>
        <v>1.5372607513043479E-2</v>
      </c>
      <c r="EI23" s="64">
        <f t="shared" si="93"/>
        <v>7.5628593120772303E-3</v>
      </c>
      <c r="EJ23" s="64">
        <f t="shared" si="94"/>
        <v>7.5628593120772303E-3</v>
      </c>
      <c r="EK23" s="64">
        <f t="shared" si="95"/>
        <v>6.4877647058823484E-2</v>
      </c>
      <c r="EL23" s="64">
        <f t="shared" si="96"/>
        <v>0.10627737226277367</v>
      </c>
      <c r="EM23" s="64">
        <f t="shared" si="97"/>
        <v>4.5231143552311392E-2</v>
      </c>
      <c r="EN23" s="64">
        <f t="shared" si="98"/>
        <v>2.1824817518248163E-2</v>
      </c>
      <c r="EO23" s="64">
        <f t="shared" si="99"/>
        <v>1.28571428571429E-2</v>
      </c>
      <c r="EP23" s="64">
        <f t="shared" si="100"/>
        <v>7.7884615384615774E-3</v>
      </c>
      <c r="EQ23" s="64">
        <f t="shared" si="101"/>
        <v>2.7500000000000302E-3</v>
      </c>
      <c r="ER23" s="64">
        <f t="shared" si="102"/>
        <v>1.2480000000000047E-2</v>
      </c>
      <c r="EX23" s="89">
        <v>2033</v>
      </c>
      <c r="EY23" s="278">
        <f t="shared" si="103"/>
        <v>0.99333333333333329</v>
      </c>
      <c r="EZ23" s="278"/>
      <c r="FA23" s="278">
        <f t="shared" si="104"/>
        <v>0.64263059986924354</v>
      </c>
      <c r="FB23" s="278">
        <f t="shared" si="41"/>
        <v>0.05</v>
      </c>
      <c r="FC23" s="64">
        <f t="shared" si="42"/>
        <v>0.11019303756521739</v>
      </c>
      <c r="FD23" s="64">
        <f t="shared" si="105"/>
        <v>3.130075816993462E-2</v>
      </c>
      <c r="FE23" s="64">
        <f t="shared" si="106"/>
        <v>0.10627737226277367</v>
      </c>
      <c r="FF23" s="64">
        <f t="shared" si="107"/>
        <v>4.5231143552311392E-2</v>
      </c>
      <c r="FG23" s="64">
        <f t="shared" si="108"/>
        <v>2.1824817518248163E-2</v>
      </c>
      <c r="FH23" s="64">
        <f t="shared" si="109"/>
        <v>1.28571428571429E-2</v>
      </c>
      <c r="FI23" s="64">
        <f t="shared" si="110"/>
        <v>7.7884615384615774E-3</v>
      </c>
      <c r="FJ23" s="64">
        <f t="shared" si="111"/>
        <v>2.7500000000000302E-3</v>
      </c>
      <c r="FK23" s="280">
        <f t="shared" si="112"/>
        <v>1.2480000000000047E-2</v>
      </c>
      <c r="FL23" s="64"/>
      <c r="FM23" s="89">
        <v>2033</v>
      </c>
      <c r="FN23" s="278">
        <f t="shared" si="113"/>
        <v>0.99333333333333329</v>
      </c>
      <c r="FP23" s="278">
        <f t="shared" si="114"/>
        <v>0.6580032073822869</v>
      </c>
      <c r="FQ23" s="278">
        <f t="shared" si="115"/>
        <v>0.05</v>
      </c>
      <c r="FR23" s="64">
        <f t="shared" si="116"/>
        <v>8.8154430052173924E-2</v>
      </c>
      <c r="FS23" s="64">
        <f t="shared" si="117"/>
        <v>3.7966758169934618E-2</v>
      </c>
      <c r="FT23" s="64">
        <f t="shared" si="118"/>
        <v>0.10627737226277367</v>
      </c>
      <c r="FU23" s="64">
        <f t="shared" si="119"/>
        <v>4.5231143552311392E-2</v>
      </c>
      <c r="FV23" s="64">
        <f t="shared" si="120"/>
        <v>2.1824817518248163E-2</v>
      </c>
      <c r="FW23" s="64">
        <f t="shared" si="121"/>
        <v>1.28571428571429E-2</v>
      </c>
      <c r="FX23" s="64">
        <f t="shared" si="122"/>
        <v>7.7884615384615774E-3</v>
      </c>
      <c r="FY23" s="64">
        <f t="shared" si="123"/>
        <v>2.7500000000000302E-3</v>
      </c>
      <c r="FZ23" s="280">
        <f t="shared" si="124"/>
        <v>1.2480000000000047E-2</v>
      </c>
      <c r="GA23" s="64"/>
      <c r="GB23" s="89">
        <v>2033</v>
      </c>
      <c r="GC23" s="278">
        <f t="shared" si="125"/>
        <v>0.99333333333333329</v>
      </c>
      <c r="GE23" s="278">
        <f t="shared" si="126"/>
        <v>0.67337581489533049</v>
      </c>
      <c r="GF23" s="278">
        <f t="shared" si="127"/>
        <v>0.05</v>
      </c>
      <c r="GG23" s="64">
        <f t="shared" si="128"/>
        <v>6.6115822539130426E-2</v>
      </c>
      <c r="GH23" s="64">
        <f t="shared" si="129"/>
        <v>4.4632758169934617E-2</v>
      </c>
      <c r="GI23" s="64">
        <f t="shared" si="130"/>
        <v>0.10627737226277367</v>
      </c>
      <c r="GJ23" s="64">
        <f t="shared" si="131"/>
        <v>4.5231143552311392E-2</v>
      </c>
      <c r="GK23" s="64">
        <f t="shared" si="132"/>
        <v>2.1824817518248163E-2</v>
      </c>
      <c r="GL23" s="64">
        <f t="shared" si="133"/>
        <v>1.28571428571429E-2</v>
      </c>
      <c r="GM23" s="64">
        <f t="shared" si="134"/>
        <v>7.7884615384615774E-3</v>
      </c>
      <c r="GN23" s="64">
        <f t="shared" si="135"/>
        <v>2.7500000000000302E-3</v>
      </c>
      <c r="GO23" s="280">
        <f t="shared" si="136"/>
        <v>1.2480000000000047E-2</v>
      </c>
      <c r="GP23" s="64"/>
      <c r="GQ23" s="89">
        <v>2033</v>
      </c>
      <c r="GR23" s="278">
        <f t="shared" si="137"/>
        <v>0.99333333333333329</v>
      </c>
      <c r="GT23" s="278">
        <f t="shared" si="138"/>
        <v>0.68874842240837397</v>
      </c>
      <c r="GU23" s="278">
        <f t="shared" si="139"/>
        <v>0.05</v>
      </c>
      <c r="GV23" s="64">
        <f t="shared" si="140"/>
        <v>4.4077215026086955E-2</v>
      </c>
      <c r="GW23" s="64">
        <f t="shared" si="141"/>
        <v>5.1298758169934615E-2</v>
      </c>
      <c r="GX23" s="64">
        <f t="shared" si="43"/>
        <v>0.10627737226277367</v>
      </c>
      <c r="GY23" s="64">
        <f t="shared" si="44"/>
        <v>4.5231143552311392E-2</v>
      </c>
      <c r="GZ23" s="64">
        <f t="shared" si="45"/>
        <v>2.1824817518248163E-2</v>
      </c>
      <c r="HA23" s="64">
        <f t="shared" si="46"/>
        <v>1.28571428571429E-2</v>
      </c>
      <c r="HB23" s="64">
        <f t="shared" si="47"/>
        <v>7.7884615384615774E-3</v>
      </c>
      <c r="HC23" s="64">
        <f t="shared" si="48"/>
        <v>2.7500000000000302E-3</v>
      </c>
      <c r="HD23" s="280">
        <f t="shared" si="49"/>
        <v>1.2480000000000047E-2</v>
      </c>
      <c r="HE23" s="64"/>
      <c r="HF23" s="89">
        <v>2033</v>
      </c>
      <c r="HG23" s="278">
        <f t="shared" si="142"/>
        <v>0.99333333333333329</v>
      </c>
      <c r="HI23" s="278">
        <f t="shared" si="143"/>
        <v>0.70412102992141745</v>
      </c>
      <c r="HJ23" s="278">
        <f t="shared" si="144"/>
        <v>0.05</v>
      </c>
      <c r="HK23" s="64">
        <f t="shared" si="145"/>
        <v>2.2038607513043477E-2</v>
      </c>
      <c r="HL23" s="64">
        <f t="shared" si="146"/>
        <v>5.7964758169934613E-2</v>
      </c>
      <c r="HM23" s="64">
        <f t="shared" si="147"/>
        <v>0.10627737226277367</v>
      </c>
      <c r="HN23" s="64">
        <f t="shared" si="148"/>
        <v>4.5231143552311392E-2</v>
      </c>
      <c r="HO23" s="64">
        <f t="shared" si="149"/>
        <v>2.1824817518248163E-2</v>
      </c>
      <c r="HP23" s="64">
        <f t="shared" si="150"/>
        <v>1.28571428571429E-2</v>
      </c>
      <c r="HQ23" s="64">
        <f t="shared" si="151"/>
        <v>7.7884615384615774E-3</v>
      </c>
      <c r="HR23" s="64">
        <f t="shared" si="152"/>
        <v>2.7500000000000302E-3</v>
      </c>
      <c r="HS23" s="280">
        <f t="shared" si="153"/>
        <v>1.2480000000000047E-2</v>
      </c>
      <c r="HT23" s="64"/>
      <c r="HU23" s="89">
        <v>2033</v>
      </c>
      <c r="HV23" s="278">
        <f t="shared" si="154"/>
        <v>0.99333333333333329</v>
      </c>
      <c r="HX23" s="278">
        <f t="shared" si="155"/>
        <v>0.71168388923349479</v>
      </c>
      <c r="HY23" s="278">
        <f t="shared" si="156"/>
        <v>0.05</v>
      </c>
      <c r="HZ23" s="64">
        <f t="shared" si="157"/>
        <v>1.101930375652173E-2</v>
      </c>
      <c r="IA23" s="64">
        <f t="shared" si="158"/>
        <v>6.1421202614379056E-2</v>
      </c>
      <c r="IB23" s="64">
        <f t="shared" si="159"/>
        <v>0.10627737226277367</v>
      </c>
      <c r="IC23" s="64">
        <f t="shared" si="160"/>
        <v>4.5231143552311392E-2</v>
      </c>
      <c r="ID23" s="64">
        <f t="shared" si="161"/>
        <v>2.1824817518248163E-2</v>
      </c>
      <c r="IE23" s="64">
        <f t="shared" si="162"/>
        <v>1.28571428571429E-2</v>
      </c>
      <c r="IF23" s="64">
        <f t="shared" si="163"/>
        <v>7.7884615384615774E-3</v>
      </c>
      <c r="IG23" s="64">
        <f t="shared" si="164"/>
        <v>2.7500000000000302E-3</v>
      </c>
      <c r="IH23" s="280">
        <f t="shared" si="165"/>
        <v>1.2480000000000047E-2</v>
      </c>
      <c r="II23" s="64"/>
      <c r="IJ23" s="89">
        <v>2033</v>
      </c>
      <c r="IK23" s="278">
        <f t="shared" si="166"/>
        <v>0.99333333333333329</v>
      </c>
      <c r="IM23" s="278">
        <f t="shared" si="167"/>
        <v>0.71924674854557202</v>
      </c>
      <c r="IN23" s="278">
        <f t="shared" si="168"/>
        <v>0.05</v>
      </c>
      <c r="IO23" s="64">
        <v>0</v>
      </c>
      <c r="IP23" s="64">
        <f t="shared" si="169"/>
        <v>6.4877647058823498E-2</v>
      </c>
      <c r="IQ23" s="64">
        <f t="shared" si="50"/>
        <v>0.10627737226277367</v>
      </c>
      <c r="IR23" s="64">
        <f t="shared" si="51"/>
        <v>4.5231143552311392E-2</v>
      </c>
      <c r="IS23" s="64">
        <f t="shared" si="52"/>
        <v>2.1824817518248163E-2</v>
      </c>
      <c r="IT23" s="64">
        <f t="shared" si="53"/>
        <v>1.28571428571429E-2</v>
      </c>
      <c r="IU23" s="64">
        <f t="shared" si="54"/>
        <v>7.7884615384615774E-3</v>
      </c>
      <c r="IV23" s="64">
        <f t="shared" si="55"/>
        <v>2.7500000000000302E-3</v>
      </c>
      <c r="IW23" s="280">
        <f t="shared" si="56"/>
        <v>1.2480000000000047E-2</v>
      </c>
      <c r="IX23" s="3">
        <f t="shared" si="170"/>
        <v>0.57391228070175515</v>
      </c>
      <c r="IY23">
        <f t="shared" si="57"/>
        <v>2033</v>
      </c>
      <c r="IZ23" s="3">
        <f t="shared" si="171"/>
        <v>11.760911305753073</v>
      </c>
      <c r="JA23" s="353">
        <f>HLOOKUP(JA$3,'Main calculations'!JG$8:JS$39,16,FALSE)</f>
        <v>12.034928144612691</v>
      </c>
      <c r="JB23" s="3">
        <f t="shared" si="172"/>
        <v>13.603333333333333</v>
      </c>
      <c r="JC23" s="353">
        <f t="shared" si="173"/>
        <v>14.319298245614036</v>
      </c>
      <c r="JD23" s="368">
        <f t="shared" si="174"/>
        <v>10.685479532163743</v>
      </c>
      <c r="JE23" s="369">
        <f t="shared" si="175"/>
        <v>11.247873191751308</v>
      </c>
      <c r="JF23" s="363">
        <f t="shared" si="176"/>
        <v>11.350879011955968</v>
      </c>
      <c r="JG23" s="362">
        <f t="shared" si="58"/>
        <v>11.948293696795757</v>
      </c>
      <c r="JH23" s="366">
        <f t="shared" si="59"/>
        <v>11.433181737382055</v>
      </c>
      <c r="JI23" s="367">
        <f t="shared" si="9"/>
        <v>12.034928144612691</v>
      </c>
      <c r="JJ23" s="363">
        <f t="shared" si="60"/>
        <v>11.515484462808143</v>
      </c>
      <c r="JK23" s="362">
        <f t="shared" si="61"/>
        <v>12.121562592429624</v>
      </c>
      <c r="JL23" s="366">
        <f t="shared" si="177"/>
        <v>11.59778718823423</v>
      </c>
      <c r="JM23" s="367">
        <f t="shared" si="62"/>
        <v>12.208197040246558</v>
      </c>
      <c r="JN23" s="363">
        <f t="shared" si="178"/>
        <v>11.680089913660314</v>
      </c>
      <c r="JO23" s="362">
        <f t="shared" si="63"/>
        <v>12.294831488063489</v>
      </c>
      <c r="JP23" s="366">
        <f t="shared" si="179"/>
        <v>11.720500609706692</v>
      </c>
      <c r="JQ23" s="367">
        <f t="shared" si="64"/>
        <v>12.337369062849151</v>
      </c>
      <c r="JR23" s="363">
        <f t="shared" si="180"/>
        <v>11.760911305753073</v>
      </c>
      <c r="JS23" s="362">
        <f t="shared" si="65"/>
        <v>12.379906637634814</v>
      </c>
    </row>
    <row r="24" spans="1:281" ht="26.5" customHeight="1">
      <c r="A24" s="690" t="s">
        <v>105</v>
      </c>
      <c r="B24" s="690"/>
      <c r="C24" s="690"/>
      <c r="D24" s="690"/>
      <c r="E24" s="690"/>
      <c r="F24" s="690"/>
      <c r="G24" s="6"/>
      <c r="H24" s="300"/>
      <c r="J24" s="301"/>
      <c r="AO24" s="89">
        <v>2034</v>
      </c>
      <c r="AP24" s="170">
        <f t="shared" si="181"/>
        <v>-1.3440000000000004E-2</v>
      </c>
      <c r="AQ24" s="170">
        <f t="shared" si="182"/>
        <v>-3.0000000000000014E-3</v>
      </c>
      <c r="AR24" s="170">
        <f t="shared" si="183"/>
        <v>-8.6538461538461526E-3</v>
      </c>
      <c r="AS24" s="170">
        <f t="shared" si="184"/>
        <v>-1.6071428571428573E-2</v>
      </c>
      <c r="AU24" s="170">
        <f t="shared" si="185"/>
        <v>-2.3503649635036497E-2</v>
      </c>
      <c r="AV24" s="170">
        <f t="shared" si="186"/>
        <v>-4.8710462287104621E-2</v>
      </c>
      <c r="AW24" s="170">
        <f t="shared" si="187"/>
        <v>-0.11445255474452552</v>
      </c>
      <c r="AY24" s="170">
        <f t="shared" si="188"/>
        <v>-6.986823529411762E-2</v>
      </c>
      <c r="AZ24" s="278">
        <f t="shared" si="189"/>
        <v>3.7706666666666657E-3</v>
      </c>
      <c r="BA24" s="284">
        <f t="shared" si="190"/>
        <v>-2.8681231721739107E-2</v>
      </c>
      <c r="BB24" s="276">
        <f t="shared" si="191"/>
        <v>-1.6626321391304339E-2</v>
      </c>
      <c r="BC24" s="277">
        <f t="shared" si="192"/>
        <v>-1.2291956452173904E-2</v>
      </c>
      <c r="BD24" s="278">
        <f t="shared" si="193"/>
        <v>3.7706666666666657E-3</v>
      </c>
      <c r="BE24" s="284">
        <f t="shared" si="194"/>
        <v>-2.8681231721739149E-2</v>
      </c>
      <c r="BF24" s="276">
        <f t="shared" si="195"/>
        <v>-1.6626321391304339E-2</v>
      </c>
      <c r="BG24" s="277">
        <f t="shared" si="196"/>
        <v>-1.2291956452173921E-2</v>
      </c>
      <c r="BH24" s="278">
        <f t="shared" si="197"/>
        <v>7.2719999999999972E-3</v>
      </c>
      <c r="BI24" s="284">
        <f t="shared" si="198"/>
        <v>-5.7362463443478284E-2</v>
      </c>
      <c r="BJ24" s="276">
        <f t="shared" si="199"/>
        <v>-3.325264278260872E-2</v>
      </c>
      <c r="BK24" s="277">
        <f t="shared" si="200"/>
        <v>-2.4583912904347836E-2</v>
      </c>
      <c r="BL24" s="278">
        <f t="shared" si="201"/>
        <v>7.2719999999999972E-3</v>
      </c>
      <c r="BM24" s="284">
        <f t="shared" si="202"/>
        <v>-5.7362463443478243E-2</v>
      </c>
      <c r="BN24" s="276">
        <f t="shared" si="203"/>
        <v>-3.3252642782608664E-2</v>
      </c>
      <c r="BO24" s="277">
        <f t="shared" si="204"/>
        <v>-2.4583912904347818E-2</v>
      </c>
      <c r="BP24" s="278">
        <f t="shared" si="205"/>
        <v>7.2719999999999972E-3</v>
      </c>
      <c r="BQ24" s="284">
        <f t="shared" si="206"/>
        <v>-5.7362463443478298E-2</v>
      </c>
      <c r="BR24" s="276">
        <f t="shared" si="207"/>
        <v>-3.3252642782608713E-2</v>
      </c>
      <c r="BS24" s="277">
        <f t="shared" si="208"/>
        <v>-2.4583912904347843E-2</v>
      </c>
      <c r="BT24" s="278">
        <f t="shared" si="209"/>
        <v>7.2719999999999972E-3</v>
      </c>
      <c r="BU24" s="284">
        <f t="shared" si="210"/>
        <v>-5.7362463443478243E-2</v>
      </c>
      <c r="BV24" s="276">
        <f t="shared" si="211"/>
        <v>-3.3252642782608678E-2</v>
      </c>
      <c r="BW24" s="278">
        <f t="shared" si="212"/>
        <v>-2.4583912904347811E-2</v>
      </c>
      <c r="BX24" s="391">
        <f t="shared" si="66"/>
        <v>-4.0510901960784287E-2</v>
      </c>
      <c r="BY24" s="392">
        <f t="shared" si="67"/>
        <v>-9.8335651617391329E-2</v>
      </c>
      <c r="BZ24" s="278"/>
      <c r="CB24" s="279">
        <f t="shared" si="213"/>
        <v>-0.29770017668605897</v>
      </c>
      <c r="CC24" s="64">
        <f t="shared" si="214"/>
        <v>-0.30622146647156623</v>
      </c>
      <c r="CD24" s="64">
        <f t="shared" si="215"/>
        <v>-0.31474275625707349</v>
      </c>
      <c r="CE24" s="64">
        <f t="shared" si="216"/>
        <v>-0.33205466916142135</v>
      </c>
      <c r="CF24" s="64">
        <f t="shared" si="217"/>
        <v>-0.34936658206576915</v>
      </c>
      <c r="CG24" s="64">
        <f t="shared" si="218"/>
        <v>-0.36667849497011701</v>
      </c>
      <c r="CH24" s="64">
        <f t="shared" si="219"/>
        <v>-0.38399040787446481</v>
      </c>
      <c r="CI24">
        <v>2034</v>
      </c>
      <c r="CJ24" s="240"/>
      <c r="CL24">
        <v>2034</v>
      </c>
      <c r="CM24" s="3">
        <f t="shared" si="68"/>
        <v>0.95</v>
      </c>
      <c r="CN24" s="64">
        <f t="shared" si="23"/>
        <v>0.93655999999999995</v>
      </c>
      <c r="CO24" s="64">
        <f t="shared" si="24"/>
        <v>0.93355999999999995</v>
      </c>
      <c r="CP24" s="64">
        <f t="shared" si="25"/>
        <v>0.92490615384615382</v>
      </c>
      <c r="CQ24" s="64">
        <f t="shared" si="26"/>
        <v>0.9088347252747252</v>
      </c>
      <c r="CR24" s="64">
        <f t="shared" si="27"/>
        <v>0.88533107563968871</v>
      </c>
      <c r="CS24" s="64">
        <f t="shared" si="28"/>
        <v>0.83662061335258409</v>
      </c>
      <c r="CT24" s="64">
        <f t="shared" si="29"/>
        <v>0.72216805860805855</v>
      </c>
      <c r="CU24" s="64">
        <f t="shared" si="30"/>
        <v>0.65229982331394099</v>
      </c>
      <c r="CV24" s="64">
        <f t="shared" si="31"/>
        <v>0.65607048998060769</v>
      </c>
      <c r="CW24" s="65">
        <f t="shared" si="69"/>
        <v>0.64377853352843373</v>
      </c>
      <c r="CX24" s="64">
        <f t="shared" si="70"/>
        <v>0.65984115664727438</v>
      </c>
      <c r="CY24" s="65">
        <f t="shared" si="71"/>
        <v>0.63525724374292647</v>
      </c>
      <c r="CZ24" s="64">
        <f t="shared" si="72"/>
        <v>0.66711315664727433</v>
      </c>
      <c r="DA24" s="65">
        <f t="shared" si="73"/>
        <v>0.61794533083857861</v>
      </c>
      <c r="DB24" s="64">
        <f t="shared" si="74"/>
        <v>0.67438515664727428</v>
      </c>
      <c r="DC24" s="65">
        <f t="shared" si="75"/>
        <v>0.60063341793423075</v>
      </c>
      <c r="DD24" s="64">
        <f t="shared" si="76"/>
        <v>0.68165715664727422</v>
      </c>
      <c r="DE24" s="65">
        <f t="shared" si="77"/>
        <v>0.58332150502988289</v>
      </c>
      <c r="DF24" s="64">
        <f t="shared" si="78"/>
        <v>0.68892915664727417</v>
      </c>
      <c r="DG24" s="65">
        <f t="shared" si="79"/>
        <v>0.56600959212553503</v>
      </c>
      <c r="DL24">
        <v>2034</v>
      </c>
      <c r="DM24" s="64">
        <f t="shared" si="80"/>
        <v>0.56600959212553503</v>
      </c>
      <c r="DN24" s="64">
        <f t="shared" si="81"/>
        <v>0.58332150502988289</v>
      </c>
      <c r="DO24" s="64">
        <f t="shared" si="82"/>
        <v>0.60063341793423075</v>
      </c>
      <c r="DP24" s="64">
        <f t="shared" si="83"/>
        <v>0.61794533083857861</v>
      </c>
      <c r="DQ24" s="64">
        <f t="shared" si="84"/>
        <v>0.63525724374292647</v>
      </c>
      <c r="DR24" s="64">
        <f t="shared" si="85"/>
        <v>0.64377853352843373</v>
      </c>
      <c r="DS24" s="64">
        <f t="shared" si="32"/>
        <v>0.65229982331394099</v>
      </c>
      <c r="DT24" s="64">
        <f t="shared" si="33"/>
        <v>0.72216805860805855</v>
      </c>
      <c r="DU24" s="64">
        <f t="shared" si="34"/>
        <v>0.83662061335258409</v>
      </c>
      <c r="DV24" s="64">
        <f t="shared" si="35"/>
        <v>0.88533107563968871</v>
      </c>
      <c r="DW24" s="64">
        <f t="shared" si="36"/>
        <v>0.9088347252747252</v>
      </c>
      <c r="DX24" s="64">
        <f t="shared" si="37"/>
        <v>0.92490615384615382</v>
      </c>
      <c r="DY24" s="64">
        <f t="shared" si="38"/>
        <v>0.93355999999999995</v>
      </c>
      <c r="DZ24" s="64">
        <f t="shared" si="39"/>
        <v>0.93655999999999995</v>
      </c>
      <c r="EA24" s="3">
        <f t="shared" si="86"/>
        <v>0.95</v>
      </c>
      <c r="EB24">
        <v>2034</v>
      </c>
      <c r="EC24" s="269">
        <f t="shared" si="87"/>
        <v>0.56600959212553503</v>
      </c>
      <c r="ED24" s="269">
        <f t="shared" si="88"/>
        <v>0.05</v>
      </c>
      <c r="EE24" s="64">
        <f t="shared" si="89"/>
        <v>1.7311912904347859E-2</v>
      </c>
      <c r="EF24" s="64">
        <f t="shared" si="90"/>
        <v>1.7311912904347859E-2</v>
      </c>
      <c r="EG24" s="64">
        <f t="shared" si="91"/>
        <v>1.7311912904347859E-2</v>
      </c>
      <c r="EH24" s="64">
        <f t="shared" si="92"/>
        <v>1.7311912904347859E-2</v>
      </c>
      <c r="EI24" s="64">
        <f t="shared" si="93"/>
        <v>8.5212897855072578E-3</v>
      </c>
      <c r="EJ24" s="64">
        <f t="shared" si="94"/>
        <v>8.5212897855072578E-3</v>
      </c>
      <c r="EK24" s="64">
        <f t="shared" si="95"/>
        <v>6.9868235294117564E-2</v>
      </c>
      <c r="EL24" s="64">
        <f t="shared" si="96"/>
        <v>0.11445255474452554</v>
      </c>
      <c r="EM24" s="64">
        <f t="shared" si="97"/>
        <v>4.8710462287104628E-2</v>
      </c>
      <c r="EN24" s="64">
        <f t="shared" si="98"/>
        <v>2.3503649635036483E-2</v>
      </c>
      <c r="EO24" s="64">
        <f t="shared" si="99"/>
        <v>1.6071428571428625E-2</v>
      </c>
      <c r="EP24" s="64">
        <f t="shared" si="100"/>
        <v>8.6538461538461231E-3</v>
      </c>
      <c r="EQ24" s="64">
        <f t="shared" si="101"/>
        <v>3.0000000000000027E-3</v>
      </c>
      <c r="ER24" s="64">
        <f t="shared" si="102"/>
        <v>1.3440000000000007E-2</v>
      </c>
      <c r="EX24" s="89">
        <v>2034</v>
      </c>
      <c r="EY24" s="278">
        <f t="shared" si="103"/>
        <v>0.99666666666666659</v>
      </c>
      <c r="EZ24" s="278"/>
      <c r="FA24" s="278">
        <f t="shared" si="104"/>
        <v>0.61267625879220178</v>
      </c>
      <c r="FB24" s="278">
        <f t="shared" si="41"/>
        <v>0.05</v>
      </c>
      <c r="FC24" s="64">
        <f t="shared" si="42"/>
        <v>0.12291956452173913</v>
      </c>
      <c r="FD24" s="64">
        <f t="shared" si="105"/>
        <v>3.3238901960784287E-2</v>
      </c>
      <c r="FE24" s="64">
        <f t="shared" si="106"/>
        <v>0.11445255474452554</v>
      </c>
      <c r="FF24" s="64">
        <f t="shared" si="107"/>
        <v>4.8710462287104628E-2</v>
      </c>
      <c r="FG24" s="64">
        <f t="shared" si="108"/>
        <v>2.3503649635036483E-2</v>
      </c>
      <c r="FH24" s="64">
        <f t="shared" si="109"/>
        <v>1.6071428571428625E-2</v>
      </c>
      <c r="FI24" s="64">
        <f t="shared" si="110"/>
        <v>8.6538461538461231E-3</v>
      </c>
      <c r="FJ24" s="64">
        <f t="shared" si="111"/>
        <v>3.0000000000000027E-3</v>
      </c>
      <c r="FK24" s="280">
        <f t="shared" si="112"/>
        <v>1.3440000000000007E-2</v>
      </c>
      <c r="FL24" s="64"/>
      <c r="FM24" s="89">
        <v>2034</v>
      </c>
      <c r="FN24" s="278">
        <f t="shared" si="113"/>
        <v>0.99666666666666659</v>
      </c>
      <c r="FP24" s="278">
        <f t="shared" si="114"/>
        <v>0.62998817169654964</v>
      </c>
      <c r="FQ24" s="278">
        <f t="shared" si="115"/>
        <v>0.05</v>
      </c>
      <c r="FR24" s="64">
        <f t="shared" si="116"/>
        <v>9.8335651617391329E-2</v>
      </c>
      <c r="FS24" s="64">
        <f t="shared" si="117"/>
        <v>4.0510901960784287E-2</v>
      </c>
      <c r="FT24" s="64">
        <f t="shared" si="118"/>
        <v>0.11445255474452554</v>
      </c>
      <c r="FU24" s="64">
        <f t="shared" si="119"/>
        <v>4.8710462287104628E-2</v>
      </c>
      <c r="FV24" s="64">
        <f t="shared" si="120"/>
        <v>2.3503649635036483E-2</v>
      </c>
      <c r="FW24" s="64">
        <f t="shared" si="121"/>
        <v>1.6071428571428625E-2</v>
      </c>
      <c r="FX24" s="64">
        <f t="shared" si="122"/>
        <v>8.6538461538461231E-3</v>
      </c>
      <c r="FY24" s="64">
        <f t="shared" si="123"/>
        <v>3.0000000000000027E-3</v>
      </c>
      <c r="FZ24" s="280">
        <f t="shared" si="124"/>
        <v>1.3440000000000007E-2</v>
      </c>
      <c r="GA24" s="64"/>
      <c r="GB24" s="89">
        <v>2034</v>
      </c>
      <c r="GC24" s="278">
        <f t="shared" si="125"/>
        <v>0.99666666666666659</v>
      </c>
      <c r="GE24" s="278">
        <f t="shared" si="126"/>
        <v>0.64730008460089739</v>
      </c>
      <c r="GF24" s="278">
        <f t="shared" si="127"/>
        <v>0.05</v>
      </c>
      <c r="GG24" s="64">
        <f t="shared" si="128"/>
        <v>7.3751738713043483E-2</v>
      </c>
      <c r="GH24" s="64">
        <f t="shared" si="129"/>
        <v>4.7782901960784288E-2</v>
      </c>
      <c r="GI24" s="64">
        <f t="shared" si="130"/>
        <v>0.11445255474452554</v>
      </c>
      <c r="GJ24" s="64">
        <f t="shared" si="131"/>
        <v>4.8710462287104628E-2</v>
      </c>
      <c r="GK24" s="64">
        <f t="shared" si="132"/>
        <v>2.3503649635036483E-2</v>
      </c>
      <c r="GL24" s="64">
        <f t="shared" si="133"/>
        <v>1.6071428571428625E-2</v>
      </c>
      <c r="GM24" s="64">
        <f t="shared" si="134"/>
        <v>8.6538461538461231E-3</v>
      </c>
      <c r="GN24" s="64">
        <f t="shared" si="135"/>
        <v>3.0000000000000027E-3</v>
      </c>
      <c r="GO24" s="280">
        <f t="shared" si="136"/>
        <v>1.3440000000000007E-2</v>
      </c>
      <c r="GP24" s="64"/>
      <c r="GQ24" s="89">
        <v>2034</v>
      </c>
      <c r="GR24" s="278">
        <f t="shared" si="137"/>
        <v>0.99666666666666659</v>
      </c>
      <c r="GT24" s="278">
        <f t="shared" si="138"/>
        <v>0.66461199750524524</v>
      </c>
      <c r="GU24" s="278">
        <f t="shared" si="139"/>
        <v>0.05</v>
      </c>
      <c r="GV24" s="64">
        <f t="shared" si="140"/>
        <v>4.9167825808695664E-2</v>
      </c>
      <c r="GW24" s="64">
        <f t="shared" si="141"/>
        <v>5.5054901960784289E-2</v>
      </c>
      <c r="GX24" s="64">
        <f t="shared" si="43"/>
        <v>0.11445255474452554</v>
      </c>
      <c r="GY24" s="64">
        <f t="shared" si="44"/>
        <v>4.8710462287104628E-2</v>
      </c>
      <c r="GZ24" s="64">
        <f t="shared" si="45"/>
        <v>2.3503649635036483E-2</v>
      </c>
      <c r="HA24" s="64">
        <f t="shared" si="46"/>
        <v>1.6071428571428625E-2</v>
      </c>
      <c r="HB24" s="64">
        <f t="shared" si="47"/>
        <v>8.6538461538461231E-3</v>
      </c>
      <c r="HC24" s="64">
        <f t="shared" si="48"/>
        <v>3.0000000000000027E-3</v>
      </c>
      <c r="HD24" s="280">
        <f t="shared" si="49"/>
        <v>1.3440000000000007E-2</v>
      </c>
      <c r="HE24" s="64"/>
      <c r="HF24" s="89">
        <v>2034</v>
      </c>
      <c r="HG24" s="278">
        <f t="shared" si="142"/>
        <v>0.99666666666666659</v>
      </c>
      <c r="HI24" s="278">
        <f t="shared" si="143"/>
        <v>0.6819239104095931</v>
      </c>
      <c r="HJ24" s="278">
        <f t="shared" si="144"/>
        <v>0.05</v>
      </c>
      <c r="HK24" s="64">
        <f t="shared" si="145"/>
        <v>2.4583912904347825E-2</v>
      </c>
      <c r="HL24" s="64">
        <f t="shared" si="146"/>
        <v>6.2326901960784283E-2</v>
      </c>
      <c r="HM24" s="64">
        <f t="shared" si="147"/>
        <v>0.11445255474452554</v>
      </c>
      <c r="HN24" s="64">
        <f t="shared" si="148"/>
        <v>4.8710462287104628E-2</v>
      </c>
      <c r="HO24" s="64">
        <f t="shared" si="149"/>
        <v>2.3503649635036483E-2</v>
      </c>
      <c r="HP24" s="64">
        <f t="shared" si="150"/>
        <v>1.6071428571428625E-2</v>
      </c>
      <c r="HQ24" s="64">
        <f t="shared" si="151"/>
        <v>8.6538461538461231E-3</v>
      </c>
      <c r="HR24" s="64">
        <f t="shared" si="152"/>
        <v>3.0000000000000027E-3</v>
      </c>
      <c r="HS24" s="280">
        <f t="shared" si="153"/>
        <v>1.3440000000000007E-2</v>
      </c>
      <c r="HT24" s="64"/>
      <c r="HU24" s="89">
        <v>2034</v>
      </c>
      <c r="HV24" s="278">
        <f t="shared" si="154"/>
        <v>0.99666666666666659</v>
      </c>
      <c r="HX24" s="278">
        <f t="shared" si="155"/>
        <v>0.69044520019510036</v>
      </c>
      <c r="HY24" s="278">
        <f t="shared" si="156"/>
        <v>0.05</v>
      </c>
      <c r="HZ24" s="64">
        <f t="shared" si="157"/>
        <v>1.2291956452173904E-2</v>
      </c>
      <c r="IA24" s="64">
        <f t="shared" si="158"/>
        <v>6.6097568627450948E-2</v>
      </c>
      <c r="IB24" s="64">
        <f t="shared" si="159"/>
        <v>0.11445255474452554</v>
      </c>
      <c r="IC24" s="64">
        <f t="shared" si="160"/>
        <v>4.8710462287104628E-2</v>
      </c>
      <c r="ID24" s="64">
        <f t="shared" si="161"/>
        <v>2.3503649635036483E-2</v>
      </c>
      <c r="IE24" s="64">
        <f t="shared" si="162"/>
        <v>1.6071428571428625E-2</v>
      </c>
      <c r="IF24" s="64">
        <f t="shared" si="163"/>
        <v>8.6538461538461231E-3</v>
      </c>
      <c r="IG24" s="64">
        <f t="shared" si="164"/>
        <v>3.0000000000000027E-3</v>
      </c>
      <c r="IH24" s="280">
        <f t="shared" si="165"/>
        <v>1.3440000000000007E-2</v>
      </c>
      <c r="II24" s="64"/>
      <c r="IJ24" s="89">
        <v>2034</v>
      </c>
      <c r="IK24" s="278">
        <f t="shared" si="166"/>
        <v>0.99666666666666659</v>
      </c>
      <c r="IM24" s="278">
        <f t="shared" si="167"/>
        <v>0.69896648998060762</v>
      </c>
      <c r="IN24" s="278">
        <f t="shared" si="168"/>
        <v>0.05</v>
      </c>
      <c r="IO24" s="64">
        <v>0</v>
      </c>
      <c r="IP24" s="64">
        <f t="shared" si="169"/>
        <v>6.986823529411762E-2</v>
      </c>
      <c r="IQ24" s="64">
        <f t="shared" si="50"/>
        <v>0.11445255474452554</v>
      </c>
      <c r="IR24" s="64">
        <f t="shared" si="51"/>
        <v>4.8710462287104628E-2</v>
      </c>
      <c r="IS24" s="64">
        <f t="shared" si="52"/>
        <v>2.3503649635036483E-2</v>
      </c>
      <c r="IT24" s="64">
        <f t="shared" si="53"/>
        <v>1.6071428571428625E-2</v>
      </c>
      <c r="IU24" s="64">
        <f t="shared" si="54"/>
        <v>8.6538461538461231E-3</v>
      </c>
      <c r="IV24" s="64">
        <f t="shared" si="55"/>
        <v>3.0000000000000027E-3</v>
      </c>
      <c r="IW24" s="280">
        <f t="shared" si="56"/>
        <v>1.3440000000000007E-2</v>
      </c>
      <c r="IX24" s="3">
        <f t="shared" si="170"/>
        <v>0.54428654970760171</v>
      </c>
      <c r="IY24">
        <f t="shared" si="57"/>
        <v>2034</v>
      </c>
      <c r="IZ24" s="3">
        <f t="shared" si="171"/>
        <v>12.45987779573368</v>
      </c>
      <c r="JA24" s="353">
        <f>HLOOKUP(JA$3,'Main calculations'!JG$8:JS$39,17,FALSE)</f>
        <v>12.698073588503794</v>
      </c>
      <c r="JB24" s="3">
        <f t="shared" si="172"/>
        <v>14.6</v>
      </c>
      <c r="JC24" s="353">
        <f t="shared" si="173"/>
        <v>15.368421052631579</v>
      </c>
      <c r="JD24" s="368">
        <f t="shared" si="174"/>
        <v>11.229766081871345</v>
      </c>
      <c r="JE24" s="369">
        <f t="shared" si="175"/>
        <v>11.820806401969838</v>
      </c>
      <c r="JF24" s="363">
        <f t="shared" si="176"/>
        <v>11.96355527074817</v>
      </c>
      <c r="JG24" s="362">
        <f t="shared" si="58"/>
        <v>12.593216074471759</v>
      </c>
      <c r="JH24" s="366">
        <f t="shared" si="59"/>
        <v>12.063169909078605</v>
      </c>
      <c r="JI24" s="367">
        <f t="shared" si="9"/>
        <v>12.698073588503794</v>
      </c>
      <c r="JJ24" s="363">
        <f t="shared" si="60"/>
        <v>12.162784547409039</v>
      </c>
      <c r="JK24" s="362">
        <f t="shared" si="61"/>
        <v>12.802931102535831</v>
      </c>
      <c r="JL24" s="366">
        <f t="shared" si="177"/>
        <v>12.262399185739476</v>
      </c>
      <c r="JM24" s="367">
        <f t="shared" si="62"/>
        <v>12.907788616567869</v>
      </c>
      <c r="JN24" s="363">
        <f t="shared" si="178"/>
        <v>12.362013824069907</v>
      </c>
      <c r="JO24" s="362">
        <f t="shared" si="63"/>
        <v>13.012646130599903</v>
      </c>
      <c r="JP24" s="366">
        <f t="shared" si="179"/>
        <v>12.410945809901792</v>
      </c>
      <c r="JQ24" s="367">
        <f t="shared" si="64"/>
        <v>13.06415348410715</v>
      </c>
      <c r="JR24" s="363">
        <f t="shared" si="180"/>
        <v>12.45987779573368</v>
      </c>
      <c r="JS24" s="362">
        <f t="shared" si="65"/>
        <v>13.115660837614401</v>
      </c>
    </row>
    <row r="25" spans="1:281">
      <c r="A25" s="259">
        <f>'1 StrategyMix for CarbonTargets'!V25</f>
        <v>0.3</v>
      </c>
      <c r="B25" s="247"/>
      <c r="C25" s="247"/>
      <c r="D25" s="247"/>
      <c r="E25" s="293"/>
      <c r="F25" s="293"/>
      <c r="G25" s="293"/>
      <c r="H25" s="297" cm="1">
        <f t="array" ref="H25">INDEX(Localise!I9:I53,MATCH(1,(A9=Localise!A9:A53)*(A25=Localise!B9:B53),0))</f>
        <v>5.3999999999999999E-2</v>
      </c>
      <c r="I25" s="298" cm="1">
        <f t="array" ref="I25">INDEX(Localise!H9:H53,MATCH(1,(A9=Localise!A9:A53)*(A25=Localise!B9:B53),0))</f>
        <v>6.0750000000000005E-2</v>
      </c>
      <c r="J25" s="299" cm="1">
        <f t="array" ref="J25">INDEX(Localise!G9:G53,MATCH(1,(A9=Localise!A9:A53)*(A25=Localise!B9:B53),0))</f>
        <v>6.7500000000000004E-2</v>
      </c>
      <c r="K25" s="5"/>
      <c r="AO25" s="89">
        <v>2035</v>
      </c>
      <c r="AP25" s="170">
        <f t="shared" si="181"/>
        <v>-1.4400000000000005E-2</v>
      </c>
      <c r="AQ25" s="170">
        <f t="shared" si="182"/>
        <v>-3.2500000000000016E-3</v>
      </c>
      <c r="AR25" s="170">
        <f t="shared" si="183"/>
        <v>-9.5192307692307677E-3</v>
      </c>
      <c r="AS25" s="170">
        <f t="shared" si="184"/>
        <v>-1.9285714285714288E-2</v>
      </c>
      <c r="AU25" s="170">
        <f t="shared" si="185"/>
        <v>-2.5182481751824817E-2</v>
      </c>
      <c r="AV25" s="170">
        <f t="shared" si="186"/>
        <v>-5.2189781021897808E-2</v>
      </c>
      <c r="AW25" s="170">
        <f t="shared" si="187"/>
        <v>-0.12262773722627734</v>
      </c>
      <c r="AY25" s="170">
        <f t="shared" si="188"/>
        <v>-7.4858823529411742E-2</v>
      </c>
      <c r="AZ25" s="278">
        <f t="shared" si="189"/>
        <v>4.0848888888888879E-3</v>
      </c>
      <c r="BA25" s="284">
        <f t="shared" si="190"/>
        <v>-2.9313326608695629E-2</v>
      </c>
      <c r="BB25" s="276">
        <f t="shared" si="191"/>
        <v>-1.8011848173913034E-2</v>
      </c>
      <c r="BC25" s="277">
        <f t="shared" si="192"/>
        <v>-1.3609758782608686E-2</v>
      </c>
      <c r="BD25" s="278">
        <f t="shared" si="193"/>
        <v>4.0848888888888879E-3</v>
      </c>
      <c r="BE25" s="284">
        <f t="shared" si="194"/>
        <v>-2.9313326608695671E-2</v>
      </c>
      <c r="BF25" s="276">
        <f t="shared" si="195"/>
        <v>-1.8011848173913034E-2</v>
      </c>
      <c r="BG25" s="277">
        <f t="shared" si="196"/>
        <v>-1.3609758782608705E-2</v>
      </c>
      <c r="BH25" s="278">
        <f t="shared" si="197"/>
        <v>7.8779999999999961E-3</v>
      </c>
      <c r="BI25" s="284">
        <f t="shared" si="198"/>
        <v>-5.8626653217391328E-2</v>
      </c>
      <c r="BJ25" s="276">
        <f t="shared" si="199"/>
        <v>-3.6023696347826116E-2</v>
      </c>
      <c r="BK25" s="277">
        <f t="shared" si="200"/>
        <v>-2.7219517565217399E-2</v>
      </c>
      <c r="BL25" s="278">
        <f t="shared" si="201"/>
        <v>7.8779999999999961E-3</v>
      </c>
      <c r="BM25" s="284">
        <f t="shared" si="202"/>
        <v>-5.8626653217391286E-2</v>
      </c>
      <c r="BN25" s="276">
        <f t="shared" si="203"/>
        <v>-3.6023696347826054E-2</v>
      </c>
      <c r="BO25" s="277">
        <f t="shared" si="204"/>
        <v>-2.7219517565217382E-2</v>
      </c>
      <c r="BP25" s="278">
        <f t="shared" si="205"/>
        <v>7.8779999999999961E-3</v>
      </c>
      <c r="BQ25" s="284">
        <f t="shared" si="206"/>
        <v>-5.8626653217391342E-2</v>
      </c>
      <c r="BR25" s="276">
        <f t="shared" si="207"/>
        <v>-3.6023696347826109E-2</v>
      </c>
      <c r="BS25" s="277">
        <f t="shared" si="208"/>
        <v>-2.721951756521741E-2</v>
      </c>
      <c r="BT25" s="278">
        <f t="shared" si="209"/>
        <v>7.8779999999999961E-3</v>
      </c>
      <c r="BU25" s="284">
        <f t="shared" si="210"/>
        <v>-5.8626653217391286E-2</v>
      </c>
      <c r="BV25" s="276">
        <f t="shared" si="211"/>
        <v>-3.6023696347826067E-2</v>
      </c>
      <c r="BW25" s="278">
        <f t="shared" si="212"/>
        <v>-2.7219517565217375E-2</v>
      </c>
      <c r="BX25" s="391">
        <f t="shared" si="66"/>
        <v>-4.3055045751633977E-2</v>
      </c>
      <c r="BY25" s="392">
        <f t="shared" si="67"/>
        <v>-0.10887807026086958</v>
      </c>
      <c r="BZ25" s="278"/>
      <c r="CB25" s="279">
        <f t="shared" si="213"/>
        <v>-0.32131376858435678</v>
      </c>
      <c r="CC25" s="64">
        <f t="shared" si="214"/>
        <v>-0.33083863847807654</v>
      </c>
      <c r="CD25" s="64">
        <f t="shared" si="215"/>
        <v>-0.34036350837179641</v>
      </c>
      <c r="CE25" s="64">
        <f t="shared" si="216"/>
        <v>-0.35970502593701381</v>
      </c>
      <c r="CF25" s="64">
        <f t="shared" si="217"/>
        <v>-0.37904654350223121</v>
      </c>
      <c r="CG25" s="64">
        <f t="shared" si="218"/>
        <v>-0.39838806106744862</v>
      </c>
      <c r="CH25" s="64">
        <f t="shared" si="219"/>
        <v>-0.41772957863266602</v>
      </c>
      <c r="CI25">
        <v>2035</v>
      </c>
      <c r="CJ25" s="240"/>
      <c r="CL25">
        <v>2035</v>
      </c>
      <c r="CM25" s="3">
        <f t="shared" si="68"/>
        <v>0.95</v>
      </c>
      <c r="CN25" s="64">
        <f t="shared" si="23"/>
        <v>0.93559999999999999</v>
      </c>
      <c r="CO25" s="64">
        <f t="shared" si="24"/>
        <v>0.93235000000000001</v>
      </c>
      <c r="CP25" s="64">
        <f t="shared" si="25"/>
        <v>0.92283076923076923</v>
      </c>
      <c r="CQ25" s="64">
        <f t="shared" si="26"/>
        <v>0.90354505494505499</v>
      </c>
      <c r="CR25" s="64">
        <f t="shared" si="27"/>
        <v>0.87836257319323019</v>
      </c>
      <c r="CS25" s="64">
        <f t="shared" si="28"/>
        <v>0.82617279217133244</v>
      </c>
      <c r="CT25" s="64">
        <f t="shared" si="29"/>
        <v>0.70354505494505504</v>
      </c>
      <c r="CU25" s="64">
        <f t="shared" si="30"/>
        <v>0.62868623141564328</v>
      </c>
      <c r="CV25" s="64">
        <f t="shared" si="31"/>
        <v>0.6327711203045322</v>
      </c>
      <c r="CW25" s="65">
        <f t="shared" si="69"/>
        <v>0.61916136152192347</v>
      </c>
      <c r="CX25" s="64">
        <f t="shared" si="70"/>
        <v>0.63685600919342111</v>
      </c>
      <c r="CY25" s="65">
        <f t="shared" si="71"/>
        <v>0.60963649162820366</v>
      </c>
      <c r="CZ25" s="64">
        <f t="shared" si="72"/>
        <v>0.64473400919342105</v>
      </c>
      <c r="DA25" s="65">
        <f t="shared" si="73"/>
        <v>0.59029497406298614</v>
      </c>
      <c r="DB25" s="64">
        <f t="shared" si="74"/>
        <v>0.65261200919342111</v>
      </c>
      <c r="DC25" s="65">
        <f t="shared" si="75"/>
        <v>0.57095345649776885</v>
      </c>
      <c r="DD25" s="64">
        <f t="shared" si="76"/>
        <v>0.66049000919342116</v>
      </c>
      <c r="DE25" s="65">
        <f t="shared" si="77"/>
        <v>0.55161193893255145</v>
      </c>
      <c r="DF25" s="64">
        <f t="shared" si="78"/>
        <v>0.66836800919342121</v>
      </c>
      <c r="DG25" s="65">
        <f t="shared" si="79"/>
        <v>0.53227042136733416</v>
      </c>
      <c r="DL25">
        <v>2035</v>
      </c>
      <c r="DM25" s="64">
        <f t="shared" si="80"/>
        <v>0.53227042136733416</v>
      </c>
      <c r="DN25" s="64">
        <f t="shared" si="81"/>
        <v>0.55161193893255145</v>
      </c>
      <c r="DO25" s="64">
        <f t="shared" si="82"/>
        <v>0.57095345649776885</v>
      </c>
      <c r="DP25" s="64">
        <f t="shared" si="83"/>
        <v>0.59029497406298614</v>
      </c>
      <c r="DQ25" s="64">
        <f t="shared" si="84"/>
        <v>0.60963649162820366</v>
      </c>
      <c r="DR25" s="64">
        <f t="shared" si="85"/>
        <v>0.61916136152192347</v>
      </c>
      <c r="DS25" s="64">
        <f t="shared" si="32"/>
        <v>0.62868623141564328</v>
      </c>
      <c r="DT25" s="64">
        <f t="shared" si="33"/>
        <v>0.70354505494505504</v>
      </c>
      <c r="DU25" s="64">
        <f t="shared" si="34"/>
        <v>0.82617279217133244</v>
      </c>
      <c r="DV25" s="64">
        <f t="shared" si="35"/>
        <v>0.87836257319323019</v>
      </c>
      <c r="DW25" s="64">
        <f t="shared" si="36"/>
        <v>0.90354505494505499</v>
      </c>
      <c r="DX25" s="64">
        <f t="shared" si="37"/>
        <v>0.92283076923076923</v>
      </c>
      <c r="DY25" s="64">
        <f t="shared" si="38"/>
        <v>0.93235000000000001</v>
      </c>
      <c r="DZ25" s="64">
        <f t="shared" si="39"/>
        <v>0.93559999999999999</v>
      </c>
      <c r="EA25" s="3">
        <f t="shared" si="86"/>
        <v>0.95</v>
      </c>
      <c r="EB25">
        <v>2035</v>
      </c>
      <c r="EC25" s="269">
        <f t="shared" si="87"/>
        <v>0.53227042136733416</v>
      </c>
      <c r="ED25" s="269">
        <f t="shared" si="88"/>
        <v>0.05</v>
      </c>
      <c r="EE25" s="64">
        <f t="shared" si="89"/>
        <v>1.9341517565217292E-2</v>
      </c>
      <c r="EF25" s="64">
        <f t="shared" si="90"/>
        <v>1.9341517565217403E-2</v>
      </c>
      <c r="EG25" s="64">
        <f t="shared" si="91"/>
        <v>1.9341517565217292E-2</v>
      </c>
      <c r="EH25" s="64">
        <f t="shared" si="92"/>
        <v>1.9341517565217514E-2</v>
      </c>
      <c r="EI25" s="64">
        <f t="shared" si="93"/>
        <v>9.5248698937198117E-3</v>
      </c>
      <c r="EJ25" s="64">
        <f t="shared" si="94"/>
        <v>9.5248698937198117E-3</v>
      </c>
      <c r="EK25" s="64">
        <f t="shared" si="95"/>
        <v>7.4858823529411755E-2</v>
      </c>
      <c r="EL25" s="64">
        <f t="shared" si="96"/>
        <v>0.1226277372262774</v>
      </c>
      <c r="EM25" s="64">
        <f t="shared" si="97"/>
        <v>5.2189781021897752E-2</v>
      </c>
      <c r="EN25" s="64">
        <f t="shared" si="98"/>
        <v>2.5182481751824803E-2</v>
      </c>
      <c r="EO25" s="64">
        <f t="shared" si="99"/>
        <v>1.9285714285714239E-2</v>
      </c>
      <c r="EP25" s="64">
        <f t="shared" si="100"/>
        <v>9.5192307692307798E-3</v>
      </c>
      <c r="EQ25" s="64">
        <f t="shared" si="101"/>
        <v>3.2499999999999751E-3</v>
      </c>
      <c r="ER25" s="64">
        <f t="shared" si="102"/>
        <v>1.4399999999999968E-2</v>
      </c>
      <c r="EX25" s="89">
        <v>2035</v>
      </c>
      <c r="EY25" s="278">
        <f t="shared" si="103"/>
        <v>1</v>
      </c>
      <c r="EZ25" s="278"/>
      <c r="FA25" s="278">
        <f t="shared" si="104"/>
        <v>0.5822704213673342</v>
      </c>
      <c r="FB25" s="278">
        <f t="shared" si="41"/>
        <v>0.05</v>
      </c>
      <c r="FC25" s="64">
        <f t="shared" si="42"/>
        <v>0.13609758782608697</v>
      </c>
      <c r="FD25" s="64">
        <f t="shared" si="105"/>
        <v>3.5177045751633981E-2</v>
      </c>
      <c r="FE25" s="64">
        <f t="shared" si="106"/>
        <v>0.1226277372262774</v>
      </c>
      <c r="FF25" s="64">
        <f t="shared" si="107"/>
        <v>5.2189781021897752E-2</v>
      </c>
      <c r="FG25" s="64">
        <f t="shared" si="108"/>
        <v>2.5182481751824803E-2</v>
      </c>
      <c r="FH25" s="64">
        <f t="shared" si="109"/>
        <v>1.9285714285714239E-2</v>
      </c>
      <c r="FI25" s="64">
        <f t="shared" si="110"/>
        <v>9.5192307692307798E-3</v>
      </c>
      <c r="FJ25" s="64">
        <f t="shared" si="111"/>
        <v>3.2499999999999751E-3</v>
      </c>
      <c r="FK25" s="280">
        <f t="shared" si="112"/>
        <v>1.4399999999999968E-2</v>
      </c>
      <c r="FL25" s="64"/>
      <c r="FM25" s="89">
        <v>2035</v>
      </c>
      <c r="FN25" s="278">
        <f t="shared" si="113"/>
        <v>1</v>
      </c>
      <c r="FP25" s="278">
        <f t="shared" si="114"/>
        <v>0.60161193893255149</v>
      </c>
      <c r="FQ25" s="278">
        <f t="shared" si="115"/>
        <v>0.05</v>
      </c>
      <c r="FR25" s="64">
        <f t="shared" si="116"/>
        <v>0.10887807026086958</v>
      </c>
      <c r="FS25" s="64">
        <f t="shared" si="117"/>
        <v>4.3055045751633977E-2</v>
      </c>
      <c r="FT25" s="64">
        <f t="shared" si="118"/>
        <v>0.1226277372262774</v>
      </c>
      <c r="FU25" s="64">
        <f t="shared" si="119"/>
        <v>5.2189781021897752E-2</v>
      </c>
      <c r="FV25" s="64">
        <f t="shared" si="120"/>
        <v>2.5182481751824803E-2</v>
      </c>
      <c r="FW25" s="64">
        <f t="shared" si="121"/>
        <v>1.9285714285714239E-2</v>
      </c>
      <c r="FX25" s="64">
        <f t="shared" si="122"/>
        <v>9.5192307692307798E-3</v>
      </c>
      <c r="FY25" s="64">
        <f t="shared" si="123"/>
        <v>3.2499999999999751E-3</v>
      </c>
      <c r="FZ25" s="280">
        <f t="shared" si="124"/>
        <v>1.4399999999999968E-2</v>
      </c>
      <c r="GA25" s="64"/>
      <c r="GB25" s="89">
        <v>2035</v>
      </c>
      <c r="GC25" s="278">
        <f t="shared" si="125"/>
        <v>1</v>
      </c>
      <c r="GE25" s="278">
        <f t="shared" si="126"/>
        <v>0.62095345649776901</v>
      </c>
      <c r="GF25" s="278">
        <f t="shared" si="127"/>
        <v>0.05</v>
      </c>
      <c r="GG25" s="64">
        <f t="shared" si="128"/>
        <v>8.165855269565217E-2</v>
      </c>
      <c r="GH25" s="64">
        <f t="shared" si="129"/>
        <v>5.0933045751633974E-2</v>
      </c>
      <c r="GI25" s="64">
        <f t="shared" si="130"/>
        <v>0.1226277372262774</v>
      </c>
      <c r="GJ25" s="64">
        <f t="shared" si="131"/>
        <v>5.2189781021897752E-2</v>
      </c>
      <c r="GK25" s="64">
        <f t="shared" si="132"/>
        <v>2.5182481751824803E-2</v>
      </c>
      <c r="GL25" s="64">
        <f t="shared" si="133"/>
        <v>1.9285714285714239E-2</v>
      </c>
      <c r="GM25" s="64">
        <f t="shared" si="134"/>
        <v>9.5192307692307798E-3</v>
      </c>
      <c r="GN25" s="64">
        <f t="shared" si="135"/>
        <v>3.2499999999999751E-3</v>
      </c>
      <c r="GO25" s="280">
        <f t="shared" si="136"/>
        <v>1.4399999999999968E-2</v>
      </c>
      <c r="GP25" s="64"/>
      <c r="GQ25" s="89">
        <v>2035</v>
      </c>
      <c r="GR25" s="278">
        <f t="shared" si="137"/>
        <v>1</v>
      </c>
      <c r="GT25" s="278">
        <f t="shared" si="138"/>
        <v>0.6402949740629863</v>
      </c>
      <c r="GU25" s="278">
        <f t="shared" si="139"/>
        <v>0.05</v>
      </c>
      <c r="GV25" s="64">
        <f t="shared" si="140"/>
        <v>5.4439035130434792E-2</v>
      </c>
      <c r="GW25" s="64">
        <f t="shared" si="141"/>
        <v>5.881104575163397E-2</v>
      </c>
      <c r="GX25" s="64">
        <f t="shared" si="43"/>
        <v>0.1226277372262774</v>
      </c>
      <c r="GY25" s="64">
        <f t="shared" si="44"/>
        <v>5.2189781021897752E-2</v>
      </c>
      <c r="GZ25" s="64">
        <f t="shared" si="45"/>
        <v>2.5182481751824803E-2</v>
      </c>
      <c r="HA25" s="64">
        <f t="shared" si="46"/>
        <v>1.9285714285714239E-2</v>
      </c>
      <c r="HB25" s="64">
        <f t="shared" si="47"/>
        <v>9.5192307692307798E-3</v>
      </c>
      <c r="HC25" s="64">
        <f t="shared" si="48"/>
        <v>3.2499999999999751E-3</v>
      </c>
      <c r="HD25" s="280">
        <f t="shared" si="49"/>
        <v>1.4399999999999968E-2</v>
      </c>
      <c r="HE25" s="64"/>
      <c r="HF25" s="89">
        <v>2035</v>
      </c>
      <c r="HG25" s="278">
        <f t="shared" si="142"/>
        <v>1</v>
      </c>
      <c r="HI25" s="278">
        <f t="shared" si="143"/>
        <v>0.6596364916282037</v>
      </c>
      <c r="HJ25" s="278">
        <f t="shared" si="144"/>
        <v>0.05</v>
      </c>
      <c r="HK25" s="64">
        <f t="shared" si="145"/>
        <v>2.7219517565217392E-2</v>
      </c>
      <c r="HL25" s="64">
        <f t="shared" si="146"/>
        <v>6.6689045751633966E-2</v>
      </c>
      <c r="HM25" s="64">
        <f t="shared" si="147"/>
        <v>0.1226277372262774</v>
      </c>
      <c r="HN25" s="64">
        <f t="shared" si="148"/>
        <v>5.2189781021897752E-2</v>
      </c>
      <c r="HO25" s="64">
        <f t="shared" si="149"/>
        <v>2.5182481751824803E-2</v>
      </c>
      <c r="HP25" s="64">
        <f t="shared" si="150"/>
        <v>1.9285714285714239E-2</v>
      </c>
      <c r="HQ25" s="64">
        <f t="shared" si="151"/>
        <v>9.5192307692307798E-3</v>
      </c>
      <c r="HR25" s="64">
        <f t="shared" si="152"/>
        <v>3.2499999999999751E-3</v>
      </c>
      <c r="HS25" s="280">
        <f t="shared" si="153"/>
        <v>1.4399999999999968E-2</v>
      </c>
      <c r="HT25" s="64"/>
      <c r="HU25" s="89">
        <v>2035</v>
      </c>
      <c r="HV25" s="278">
        <f t="shared" si="154"/>
        <v>1</v>
      </c>
      <c r="HX25" s="278">
        <f t="shared" si="155"/>
        <v>0.66916136152192351</v>
      </c>
      <c r="HY25" s="278">
        <f t="shared" si="156"/>
        <v>0.05</v>
      </c>
      <c r="HZ25" s="64">
        <f t="shared" si="157"/>
        <v>1.3609758782608686E-2</v>
      </c>
      <c r="IA25" s="64">
        <f t="shared" si="158"/>
        <v>7.0773934640522854E-2</v>
      </c>
      <c r="IB25" s="64">
        <f t="shared" si="159"/>
        <v>0.1226277372262774</v>
      </c>
      <c r="IC25" s="64">
        <f t="shared" si="160"/>
        <v>5.2189781021897752E-2</v>
      </c>
      <c r="ID25" s="64">
        <f t="shared" si="161"/>
        <v>2.5182481751824803E-2</v>
      </c>
      <c r="IE25" s="64">
        <f t="shared" si="162"/>
        <v>1.9285714285714239E-2</v>
      </c>
      <c r="IF25" s="64">
        <f t="shared" si="163"/>
        <v>9.5192307692307798E-3</v>
      </c>
      <c r="IG25" s="64">
        <f t="shared" si="164"/>
        <v>3.2499999999999751E-3</v>
      </c>
      <c r="IH25" s="280">
        <f t="shared" si="165"/>
        <v>1.4399999999999968E-2</v>
      </c>
      <c r="II25" s="64"/>
      <c r="IJ25" s="89">
        <v>2035</v>
      </c>
      <c r="IK25" s="278">
        <f t="shared" si="166"/>
        <v>1</v>
      </c>
      <c r="IM25" s="278">
        <f t="shared" si="167"/>
        <v>0.67868623141564333</v>
      </c>
      <c r="IN25" s="278">
        <f t="shared" si="168"/>
        <v>0.05</v>
      </c>
      <c r="IO25" s="64">
        <v>0</v>
      </c>
      <c r="IP25" s="64">
        <f t="shared" si="169"/>
        <v>7.4858823529411742E-2</v>
      </c>
      <c r="IQ25" s="64">
        <f t="shared" si="50"/>
        <v>0.1226277372262774</v>
      </c>
      <c r="IR25" s="64">
        <f t="shared" si="51"/>
        <v>5.2189781021897752E-2</v>
      </c>
      <c r="IS25" s="64">
        <f t="shared" si="52"/>
        <v>2.5182481751824803E-2</v>
      </c>
      <c r="IT25" s="64">
        <f t="shared" si="53"/>
        <v>1.9285714285714239E-2</v>
      </c>
      <c r="IU25" s="64">
        <f t="shared" si="54"/>
        <v>9.5192307692307798E-3</v>
      </c>
      <c r="IV25" s="64">
        <f t="shared" si="55"/>
        <v>3.2499999999999751E-3</v>
      </c>
      <c r="IW25" s="280">
        <f t="shared" si="56"/>
        <v>1.4399999999999968E-2</v>
      </c>
      <c r="IX25" s="3">
        <f t="shared" si="170"/>
        <v>0.51456140350877178</v>
      </c>
      <c r="IY25">
        <f t="shared" si="57"/>
        <v>2035</v>
      </c>
      <c r="IZ25" s="3">
        <f t="shared" si="171"/>
        <v>13.138564027149323</v>
      </c>
      <c r="JA25" s="353">
        <f>HLOOKUP(JA$3,'Main calculations'!JG$8:JS$39,18,FALSE)</f>
        <v>13.331349313695954</v>
      </c>
      <c r="JB25" s="3">
        <f t="shared" si="172"/>
        <v>15.6</v>
      </c>
      <c r="JC25" s="353">
        <f t="shared" si="173"/>
        <v>16.421052631578949</v>
      </c>
      <c r="JD25" s="368">
        <f t="shared" si="174"/>
        <v>11.744327485380117</v>
      </c>
      <c r="JE25" s="369">
        <f t="shared" si="175"/>
        <v>12.362449984610651</v>
      </c>
      <c r="JF25" s="363">
        <f t="shared" si="176"/>
        <v>12.545825692115503</v>
      </c>
      <c r="JG25" s="362">
        <f t="shared" si="58"/>
        <v>13.206132307490003</v>
      </c>
      <c r="JH25" s="366">
        <f t="shared" si="59"/>
        <v>12.664781848011156</v>
      </c>
      <c r="JI25" s="367">
        <f t="shared" si="9"/>
        <v>13.331349313695954</v>
      </c>
      <c r="JJ25" s="363">
        <f t="shared" si="60"/>
        <v>12.783738003906809</v>
      </c>
      <c r="JK25" s="362">
        <f t="shared" si="61"/>
        <v>13.456566319901905</v>
      </c>
      <c r="JL25" s="366">
        <f t="shared" si="177"/>
        <v>12.902694159802461</v>
      </c>
      <c r="JM25" s="367">
        <f t="shared" si="62"/>
        <v>13.581783326107855</v>
      </c>
      <c r="JN25" s="363">
        <f t="shared" si="178"/>
        <v>13.02165031569811</v>
      </c>
      <c r="JO25" s="362">
        <f t="shared" si="63"/>
        <v>13.7070003323138</v>
      </c>
      <c r="JP25" s="366">
        <f t="shared" si="179"/>
        <v>13.080107171423716</v>
      </c>
      <c r="JQ25" s="367">
        <f t="shared" si="64"/>
        <v>13.768533864656543</v>
      </c>
      <c r="JR25" s="363">
        <f t="shared" si="180"/>
        <v>13.138564027149323</v>
      </c>
      <c r="JS25" s="362">
        <f t="shared" si="65"/>
        <v>13.830067396999288</v>
      </c>
    </row>
    <row r="26" spans="1:281">
      <c r="A26" s="247"/>
      <c r="B26" s="247"/>
      <c r="C26" s="247"/>
      <c r="D26" s="247"/>
      <c r="E26" s="247"/>
      <c r="F26" s="247"/>
      <c r="H26" s="300"/>
      <c r="J26" s="301"/>
      <c r="AO26" s="89">
        <v>2036</v>
      </c>
      <c r="AP26" s="170">
        <f t="shared" si="181"/>
        <v>-1.5360000000000006E-2</v>
      </c>
      <c r="AQ26" s="170">
        <f t="shared" si="182"/>
        <v>-3.5000000000000018E-3</v>
      </c>
      <c r="AR26" s="170">
        <f t="shared" si="183"/>
        <v>-1.0384615384615383E-2</v>
      </c>
      <c r="AS26" s="170">
        <f t="shared" si="184"/>
        <v>-2.2500000000000003E-2</v>
      </c>
      <c r="AU26" s="170">
        <f t="shared" si="185"/>
        <v>-2.6861313868613138E-2</v>
      </c>
      <c r="AV26" s="170">
        <f t="shared" si="186"/>
        <v>-5.5669099756690994E-2</v>
      </c>
      <c r="AW26" s="170">
        <f t="shared" si="187"/>
        <v>-0.13080291970802918</v>
      </c>
      <c r="AY26" s="170">
        <f t="shared" si="188"/>
        <v>-7.9849411764705863E-2</v>
      </c>
      <c r="AZ26" s="278">
        <f t="shared" si="189"/>
        <v>4.3991111111111097E-3</v>
      </c>
      <c r="BA26" s="284">
        <f t="shared" si="190"/>
        <v>-2.9945421495652151E-2</v>
      </c>
      <c r="BB26" s="276">
        <f t="shared" si="191"/>
        <v>-1.9397374956521728E-2</v>
      </c>
      <c r="BC26" s="277">
        <f t="shared" si="192"/>
        <v>-1.4972710747826076E-2</v>
      </c>
      <c r="BD26" s="278">
        <f t="shared" si="193"/>
        <v>4.3991111111111097E-3</v>
      </c>
      <c r="BE26" s="284">
        <f t="shared" si="194"/>
        <v>-2.9945421495652193E-2</v>
      </c>
      <c r="BF26" s="276">
        <f t="shared" si="195"/>
        <v>-1.9397374956521728E-2</v>
      </c>
      <c r="BG26" s="277">
        <f t="shared" si="196"/>
        <v>-1.4972710747826096E-2</v>
      </c>
      <c r="BH26" s="278">
        <f t="shared" si="197"/>
        <v>8.483999999999995E-3</v>
      </c>
      <c r="BI26" s="284">
        <f t="shared" si="198"/>
        <v>-5.9890842991304372E-2</v>
      </c>
      <c r="BJ26" s="276">
        <f t="shared" si="199"/>
        <v>-3.8794749913043512E-2</v>
      </c>
      <c r="BK26" s="277">
        <f t="shared" si="200"/>
        <v>-2.9945421495652186E-2</v>
      </c>
      <c r="BL26" s="278">
        <f t="shared" si="201"/>
        <v>8.483999999999995E-3</v>
      </c>
      <c r="BM26" s="284">
        <f t="shared" si="202"/>
        <v>-5.989084299130433E-2</v>
      </c>
      <c r="BN26" s="276">
        <f t="shared" si="203"/>
        <v>-3.8794749913043443E-2</v>
      </c>
      <c r="BO26" s="277">
        <f t="shared" si="204"/>
        <v>-2.9945421495652165E-2</v>
      </c>
      <c r="BP26" s="278">
        <f t="shared" si="205"/>
        <v>8.483999999999995E-3</v>
      </c>
      <c r="BQ26" s="284">
        <f t="shared" si="206"/>
        <v>-5.9890842991304385E-2</v>
      </c>
      <c r="BR26" s="276">
        <f t="shared" si="207"/>
        <v>-3.8794749913043505E-2</v>
      </c>
      <c r="BS26" s="277">
        <f t="shared" si="208"/>
        <v>-2.9945421495652196E-2</v>
      </c>
      <c r="BT26" s="278">
        <f t="shared" si="209"/>
        <v>8.483999999999995E-3</v>
      </c>
      <c r="BU26" s="284">
        <f t="shared" si="210"/>
        <v>-5.989084299130433E-2</v>
      </c>
      <c r="BV26" s="276">
        <f t="shared" si="211"/>
        <v>-3.8794749913043457E-2</v>
      </c>
      <c r="BW26" s="278">
        <f t="shared" si="212"/>
        <v>-2.9945421495652155E-2</v>
      </c>
      <c r="BX26" s="391">
        <f t="shared" si="66"/>
        <v>-4.5599189542483681E-2</v>
      </c>
      <c r="BY26" s="392">
        <f t="shared" si="67"/>
        <v>-0.11978168598260873</v>
      </c>
      <c r="BZ26" s="278"/>
      <c r="CB26" s="279">
        <f t="shared" si="213"/>
        <v>-0.3449273604826546</v>
      </c>
      <c r="CC26" s="64">
        <f t="shared" si="214"/>
        <v>-0.35550096011936955</v>
      </c>
      <c r="CD26" s="64">
        <f t="shared" si="215"/>
        <v>-0.36607455975608449</v>
      </c>
      <c r="CE26" s="64">
        <f t="shared" si="216"/>
        <v>-0.38753598125173672</v>
      </c>
      <c r="CF26" s="64">
        <f t="shared" si="217"/>
        <v>-0.40899740274738888</v>
      </c>
      <c r="CG26" s="64">
        <f t="shared" si="218"/>
        <v>-0.4304588242430411</v>
      </c>
      <c r="CH26" s="64">
        <f t="shared" si="219"/>
        <v>-0.45192024573869327</v>
      </c>
      <c r="CI26">
        <v>2036</v>
      </c>
      <c r="CJ26" s="240"/>
      <c r="CL26">
        <v>2036</v>
      </c>
      <c r="CM26" s="3">
        <f t="shared" si="68"/>
        <v>0.95</v>
      </c>
      <c r="CN26" s="64">
        <f t="shared" si="23"/>
        <v>0.93463999999999992</v>
      </c>
      <c r="CO26" s="64">
        <f t="shared" si="24"/>
        <v>0.93113999999999997</v>
      </c>
      <c r="CP26" s="64">
        <f t="shared" si="25"/>
        <v>0.92075538461538453</v>
      </c>
      <c r="CQ26" s="64">
        <f t="shared" si="26"/>
        <v>0.89825538461538457</v>
      </c>
      <c r="CR26" s="64">
        <f t="shared" si="27"/>
        <v>0.87139407074677144</v>
      </c>
      <c r="CS26" s="64">
        <f t="shared" si="28"/>
        <v>0.81572497099008046</v>
      </c>
      <c r="CT26" s="64">
        <f t="shared" si="29"/>
        <v>0.6849220512820513</v>
      </c>
      <c r="CU26" s="64">
        <f t="shared" si="30"/>
        <v>0.60507263951734547</v>
      </c>
      <c r="CV26" s="64">
        <f t="shared" si="31"/>
        <v>0.6094717506284566</v>
      </c>
      <c r="CW26" s="65">
        <f t="shared" si="69"/>
        <v>0.59449903988063058</v>
      </c>
      <c r="CX26" s="64">
        <f t="shared" si="70"/>
        <v>0.61387086173956773</v>
      </c>
      <c r="CY26" s="65">
        <f t="shared" si="71"/>
        <v>0.58392544024391557</v>
      </c>
      <c r="CZ26" s="64">
        <f t="shared" si="72"/>
        <v>0.62235486173956778</v>
      </c>
      <c r="DA26" s="65">
        <f t="shared" si="73"/>
        <v>0.56246401874826346</v>
      </c>
      <c r="DB26" s="64">
        <f t="shared" si="74"/>
        <v>0.63083886173956782</v>
      </c>
      <c r="DC26" s="65">
        <f t="shared" si="75"/>
        <v>0.54100259725261135</v>
      </c>
      <c r="DD26" s="64">
        <f t="shared" si="76"/>
        <v>0.63932286173956787</v>
      </c>
      <c r="DE26" s="65">
        <f t="shared" si="77"/>
        <v>0.51954117575695924</v>
      </c>
      <c r="DF26" s="64">
        <f t="shared" si="78"/>
        <v>0.64780686173956792</v>
      </c>
      <c r="DG26" s="65">
        <f t="shared" si="79"/>
        <v>0.49807975426130713</v>
      </c>
      <c r="DL26">
        <v>2036</v>
      </c>
      <c r="DM26" s="64">
        <f t="shared" si="80"/>
        <v>0.49807975426130713</v>
      </c>
      <c r="DN26" s="64">
        <f t="shared" si="81"/>
        <v>0.51954117575695924</v>
      </c>
      <c r="DO26" s="64">
        <f t="shared" si="82"/>
        <v>0.54100259725261135</v>
      </c>
      <c r="DP26" s="64">
        <f t="shared" si="83"/>
        <v>0.56246401874826346</v>
      </c>
      <c r="DQ26" s="64">
        <f t="shared" si="84"/>
        <v>0.58392544024391557</v>
      </c>
      <c r="DR26" s="64">
        <f t="shared" si="85"/>
        <v>0.59449903988063058</v>
      </c>
      <c r="DS26" s="64">
        <f t="shared" si="32"/>
        <v>0.60507263951734547</v>
      </c>
      <c r="DT26" s="64">
        <f t="shared" si="33"/>
        <v>0.6849220512820513</v>
      </c>
      <c r="DU26" s="64">
        <f t="shared" si="34"/>
        <v>0.81572497099008046</v>
      </c>
      <c r="DV26" s="64">
        <f t="shared" si="35"/>
        <v>0.87139407074677144</v>
      </c>
      <c r="DW26" s="64">
        <f t="shared" si="36"/>
        <v>0.89825538461538457</v>
      </c>
      <c r="DX26" s="64">
        <f t="shared" si="37"/>
        <v>0.92075538461538453</v>
      </c>
      <c r="DY26" s="64">
        <f t="shared" si="38"/>
        <v>0.93113999999999997</v>
      </c>
      <c r="DZ26" s="64">
        <f t="shared" si="39"/>
        <v>0.93463999999999992</v>
      </c>
      <c r="EA26" s="3">
        <f t="shared" si="86"/>
        <v>0.95</v>
      </c>
      <c r="EB26">
        <v>2036</v>
      </c>
      <c r="EC26" s="269">
        <f t="shared" si="87"/>
        <v>0.49807975426130713</v>
      </c>
      <c r="ED26" s="269">
        <f t="shared" si="88"/>
        <v>0.05</v>
      </c>
      <c r="EE26" s="64">
        <f t="shared" si="89"/>
        <v>2.1461421495652111E-2</v>
      </c>
      <c r="EF26" s="64">
        <f t="shared" si="90"/>
        <v>2.1461421495652111E-2</v>
      </c>
      <c r="EG26" s="64">
        <f t="shared" si="91"/>
        <v>2.1461421495652111E-2</v>
      </c>
      <c r="EH26" s="64">
        <f t="shared" si="92"/>
        <v>2.1461421495652111E-2</v>
      </c>
      <c r="EI26" s="64">
        <f t="shared" si="93"/>
        <v>1.0573599636715003E-2</v>
      </c>
      <c r="EJ26" s="64">
        <f t="shared" si="94"/>
        <v>1.0573599636714892E-2</v>
      </c>
      <c r="EK26" s="64">
        <f t="shared" si="95"/>
        <v>7.9849411764705835E-2</v>
      </c>
      <c r="EL26" s="64">
        <f t="shared" si="96"/>
        <v>0.13080291970802915</v>
      </c>
      <c r="EM26" s="64">
        <f t="shared" si="97"/>
        <v>5.5669099756690987E-2</v>
      </c>
      <c r="EN26" s="64">
        <f t="shared" si="98"/>
        <v>2.6861313868613124E-2</v>
      </c>
      <c r="EO26" s="64">
        <f t="shared" si="99"/>
        <v>2.2499999999999964E-2</v>
      </c>
      <c r="EP26" s="64">
        <f t="shared" si="100"/>
        <v>1.0384615384615437E-2</v>
      </c>
      <c r="EQ26" s="64">
        <f t="shared" si="101"/>
        <v>3.4999999999999476E-3</v>
      </c>
      <c r="ER26" s="64">
        <f t="shared" si="102"/>
        <v>1.536000000000004E-2</v>
      </c>
      <c r="EX26" s="89">
        <v>2036</v>
      </c>
      <c r="EY26" s="278">
        <f t="shared" si="103"/>
        <v>1.0033333333333332</v>
      </c>
      <c r="EZ26" s="278"/>
      <c r="FA26" s="278">
        <f t="shared" si="104"/>
        <v>0.55141308759463992</v>
      </c>
      <c r="FB26" s="278">
        <f t="shared" si="41"/>
        <v>0.05</v>
      </c>
      <c r="FC26" s="64">
        <f t="shared" si="42"/>
        <v>0.14972710747826087</v>
      </c>
      <c r="FD26" s="64">
        <f t="shared" si="105"/>
        <v>3.711518954248369E-2</v>
      </c>
      <c r="FE26" s="64">
        <f t="shared" si="106"/>
        <v>0.13080291970802915</v>
      </c>
      <c r="FF26" s="64">
        <f t="shared" si="107"/>
        <v>5.5669099756690987E-2</v>
      </c>
      <c r="FG26" s="64">
        <f t="shared" si="108"/>
        <v>2.6861313868613124E-2</v>
      </c>
      <c r="FH26" s="64">
        <f t="shared" si="109"/>
        <v>2.2499999999999964E-2</v>
      </c>
      <c r="FI26" s="64">
        <f t="shared" si="110"/>
        <v>1.0384615384615437E-2</v>
      </c>
      <c r="FJ26" s="64">
        <f t="shared" si="111"/>
        <v>3.4999999999999476E-3</v>
      </c>
      <c r="FK26" s="280">
        <f t="shared" si="112"/>
        <v>1.536000000000004E-2</v>
      </c>
      <c r="FL26" s="64"/>
      <c r="FM26" s="89">
        <v>2036</v>
      </c>
      <c r="FN26" s="278">
        <f t="shared" si="113"/>
        <v>1.0033333333333332</v>
      </c>
      <c r="FP26" s="278">
        <f t="shared" si="114"/>
        <v>0.57287450909029214</v>
      </c>
      <c r="FQ26" s="278">
        <f t="shared" si="115"/>
        <v>0.05</v>
      </c>
      <c r="FR26" s="64">
        <f t="shared" si="116"/>
        <v>0.11978168598260873</v>
      </c>
      <c r="FS26" s="64">
        <f t="shared" si="117"/>
        <v>4.5599189542483681E-2</v>
      </c>
      <c r="FT26" s="64">
        <f t="shared" si="118"/>
        <v>0.13080291970802915</v>
      </c>
      <c r="FU26" s="64">
        <f t="shared" si="119"/>
        <v>5.5669099756690987E-2</v>
      </c>
      <c r="FV26" s="64">
        <f t="shared" si="120"/>
        <v>2.6861313868613124E-2</v>
      </c>
      <c r="FW26" s="64">
        <f t="shared" si="121"/>
        <v>2.2499999999999964E-2</v>
      </c>
      <c r="FX26" s="64">
        <f t="shared" si="122"/>
        <v>1.0384615384615437E-2</v>
      </c>
      <c r="FY26" s="64">
        <f t="shared" si="123"/>
        <v>3.4999999999999476E-3</v>
      </c>
      <c r="FZ26" s="280">
        <f t="shared" si="124"/>
        <v>1.536000000000004E-2</v>
      </c>
      <c r="GA26" s="64"/>
      <c r="GB26" s="89">
        <v>2036</v>
      </c>
      <c r="GC26" s="278">
        <f t="shared" si="125"/>
        <v>1.0033333333333332</v>
      </c>
      <c r="GE26" s="278">
        <f t="shared" si="126"/>
        <v>0.59433593058594436</v>
      </c>
      <c r="GF26" s="278">
        <f t="shared" si="127"/>
        <v>0.05</v>
      </c>
      <c r="GG26" s="64">
        <f t="shared" si="128"/>
        <v>8.983626448695653E-2</v>
      </c>
      <c r="GH26" s="64">
        <f t="shared" si="129"/>
        <v>5.4083189542483673E-2</v>
      </c>
      <c r="GI26" s="64">
        <f t="shared" si="130"/>
        <v>0.13080291970802915</v>
      </c>
      <c r="GJ26" s="64">
        <f t="shared" si="131"/>
        <v>5.5669099756690987E-2</v>
      </c>
      <c r="GK26" s="64">
        <f t="shared" si="132"/>
        <v>2.6861313868613124E-2</v>
      </c>
      <c r="GL26" s="64">
        <f t="shared" si="133"/>
        <v>2.2499999999999964E-2</v>
      </c>
      <c r="GM26" s="64">
        <f t="shared" si="134"/>
        <v>1.0384615384615437E-2</v>
      </c>
      <c r="GN26" s="64">
        <f t="shared" si="135"/>
        <v>3.4999999999999476E-3</v>
      </c>
      <c r="GO26" s="280">
        <f t="shared" si="136"/>
        <v>1.536000000000004E-2</v>
      </c>
      <c r="GP26" s="64"/>
      <c r="GQ26" s="89">
        <v>2036</v>
      </c>
      <c r="GR26" s="278">
        <f t="shared" si="137"/>
        <v>1.0033333333333332</v>
      </c>
      <c r="GT26" s="278">
        <f t="shared" si="138"/>
        <v>0.61579735208159647</v>
      </c>
      <c r="GU26" s="278">
        <f t="shared" si="139"/>
        <v>0.05</v>
      </c>
      <c r="GV26" s="64">
        <f t="shared" si="140"/>
        <v>5.9890842991304358E-2</v>
      </c>
      <c r="GW26" s="64">
        <f t="shared" si="141"/>
        <v>6.2567189542483664E-2</v>
      </c>
      <c r="GX26" s="64">
        <f t="shared" si="43"/>
        <v>0.13080291970802915</v>
      </c>
      <c r="GY26" s="64">
        <f t="shared" si="44"/>
        <v>5.5669099756690987E-2</v>
      </c>
      <c r="GZ26" s="64">
        <f t="shared" si="45"/>
        <v>2.6861313868613124E-2</v>
      </c>
      <c r="HA26" s="64">
        <f t="shared" si="46"/>
        <v>2.2499999999999964E-2</v>
      </c>
      <c r="HB26" s="64">
        <f t="shared" si="47"/>
        <v>1.0384615384615437E-2</v>
      </c>
      <c r="HC26" s="64">
        <f t="shared" si="48"/>
        <v>3.4999999999999476E-3</v>
      </c>
      <c r="HD26" s="280">
        <f t="shared" si="49"/>
        <v>1.536000000000004E-2</v>
      </c>
      <c r="HE26" s="64"/>
      <c r="HF26" s="89">
        <v>2036</v>
      </c>
      <c r="HG26" s="278">
        <f t="shared" si="142"/>
        <v>1.0033333333333332</v>
      </c>
      <c r="HI26" s="278">
        <f t="shared" si="143"/>
        <v>0.63725877357724869</v>
      </c>
      <c r="HJ26" s="278">
        <f t="shared" si="144"/>
        <v>0.05</v>
      </c>
      <c r="HK26" s="64">
        <f t="shared" si="145"/>
        <v>2.9945421495652172E-2</v>
      </c>
      <c r="HL26" s="64">
        <f t="shared" si="146"/>
        <v>7.1051189542483656E-2</v>
      </c>
      <c r="HM26" s="64">
        <f t="shared" si="147"/>
        <v>0.13080291970802915</v>
      </c>
      <c r="HN26" s="64">
        <f t="shared" si="148"/>
        <v>5.5669099756690987E-2</v>
      </c>
      <c r="HO26" s="64">
        <f t="shared" si="149"/>
        <v>2.6861313868613124E-2</v>
      </c>
      <c r="HP26" s="64">
        <f t="shared" si="150"/>
        <v>2.2499999999999964E-2</v>
      </c>
      <c r="HQ26" s="64">
        <f t="shared" si="151"/>
        <v>1.0384615384615437E-2</v>
      </c>
      <c r="HR26" s="64">
        <f t="shared" si="152"/>
        <v>3.4999999999999476E-3</v>
      </c>
      <c r="HS26" s="280">
        <f t="shared" si="153"/>
        <v>1.536000000000004E-2</v>
      </c>
      <c r="HT26" s="64"/>
      <c r="HU26" s="89">
        <v>2036</v>
      </c>
      <c r="HV26" s="278">
        <f t="shared" si="154"/>
        <v>1.0033333333333332</v>
      </c>
      <c r="HX26" s="278">
        <f t="shared" si="155"/>
        <v>0.6478323732139637</v>
      </c>
      <c r="HY26" s="278">
        <f t="shared" si="156"/>
        <v>0.05</v>
      </c>
      <c r="HZ26" s="64">
        <f t="shared" si="157"/>
        <v>1.4972710747826076E-2</v>
      </c>
      <c r="IA26" s="64">
        <f t="shared" si="158"/>
        <v>7.545030065359476E-2</v>
      </c>
      <c r="IB26" s="64">
        <f t="shared" si="159"/>
        <v>0.13080291970802915</v>
      </c>
      <c r="IC26" s="64">
        <f t="shared" si="160"/>
        <v>5.5669099756690987E-2</v>
      </c>
      <c r="ID26" s="64">
        <f t="shared" si="161"/>
        <v>2.6861313868613124E-2</v>
      </c>
      <c r="IE26" s="64">
        <f t="shared" si="162"/>
        <v>2.2499999999999964E-2</v>
      </c>
      <c r="IF26" s="64">
        <f t="shared" si="163"/>
        <v>1.0384615384615437E-2</v>
      </c>
      <c r="IG26" s="64">
        <f t="shared" si="164"/>
        <v>3.4999999999999476E-3</v>
      </c>
      <c r="IH26" s="280">
        <f t="shared" si="165"/>
        <v>1.536000000000004E-2</v>
      </c>
      <c r="II26" s="64"/>
      <c r="IJ26" s="89">
        <v>2036</v>
      </c>
      <c r="IK26" s="278">
        <f t="shared" si="166"/>
        <v>1.0033333333333332</v>
      </c>
      <c r="IM26" s="278">
        <f t="shared" si="167"/>
        <v>0.6584059728506787</v>
      </c>
      <c r="IN26" s="278">
        <f t="shared" si="168"/>
        <v>0.05</v>
      </c>
      <c r="IO26" s="64">
        <v>0</v>
      </c>
      <c r="IP26" s="64">
        <f t="shared" si="169"/>
        <v>7.9849411764705863E-2</v>
      </c>
      <c r="IQ26" s="64">
        <f t="shared" si="50"/>
        <v>0.13080291970802915</v>
      </c>
      <c r="IR26" s="64">
        <f t="shared" si="51"/>
        <v>5.5669099756690987E-2</v>
      </c>
      <c r="IS26" s="64">
        <f t="shared" si="52"/>
        <v>2.6861313868613124E-2</v>
      </c>
      <c r="IT26" s="64">
        <f t="shared" si="53"/>
        <v>2.2499999999999964E-2</v>
      </c>
      <c r="IU26" s="64">
        <f t="shared" si="54"/>
        <v>1.0384615384615437E-2</v>
      </c>
      <c r="IV26" s="64">
        <f t="shared" si="55"/>
        <v>3.4999999999999476E-3</v>
      </c>
      <c r="IW26" s="280">
        <f t="shared" si="56"/>
        <v>1.536000000000004E-2</v>
      </c>
      <c r="IX26" s="3">
        <f t="shared" si="170"/>
        <v>0.48473684210526358</v>
      </c>
      <c r="IY26">
        <f t="shared" si="57"/>
        <v>2036</v>
      </c>
      <c r="IZ26" s="3">
        <f t="shared" si="171"/>
        <v>13.796970000000002</v>
      </c>
      <c r="JA26" s="353">
        <f>HLOOKUP(JA$3,'Main calculations'!JG$8:JS$39,19,FALSE)</f>
        <v>13.934375112738367</v>
      </c>
      <c r="JB26" s="3">
        <f t="shared" si="172"/>
        <v>16.603333333333332</v>
      </c>
      <c r="JC26" s="353">
        <f t="shared" si="173"/>
        <v>17.477192982456138</v>
      </c>
      <c r="JD26" s="368">
        <f t="shared" si="174"/>
        <v>12.22906432748538</v>
      </c>
      <c r="JE26" s="369">
        <f t="shared" si="175"/>
        <v>12.872699292089875</v>
      </c>
      <c r="JF26" s="363">
        <f t="shared" si="176"/>
        <v>13.097238779710143</v>
      </c>
      <c r="JG26" s="362">
        <f t="shared" si="58"/>
        <v>13.786567136536993</v>
      </c>
      <c r="JH26" s="366">
        <f t="shared" si="59"/>
        <v>13.237656357101448</v>
      </c>
      <c r="JI26" s="367">
        <f t="shared" si="9"/>
        <v>13.934375112738367</v>
      </c>
      <c r="JJ26" s="363">
        <f t="shared" si="60"/>
        <v>13.378073934492754</v>
      </c>
      <c r="JK26" s="362">
        <f t="shared" si="61"/>
        <v>14.082183088939741</v>
      </c>
      <c r="JL26" s="366">
        <f t="shared" si="177"/>
        <v>13.518491511884058</v>
      </c>
      <c r="JM26" s="367">
        <f t="shared" si="62"/>
        <v>14.229991065141114</v>
      </c>
      <c r="JN26" s="363">
        <f t="shared" si="178"/>
        <v>13.65890908927536</v>
      </c>
      <c r="JO26" s="362">
        <f t="shared" si="63"/>
        <v>14.377799041342485</v>
      </c>
      <c r="JP26" s="366">
        <f t="shared" si="179"/>
        <v>13.72793954463768</v>
      </c>
      <c r="JQ26" s="367">
        <f t="shared" si="64"/>
        <v>14.45046267856598</v>
      </c>
      <c r="JR26" s="363">
        <f t="shared" si="180"/>
        <v>13.796970000000002</v>
      </c>
      <c r="JS26" s="362">
        <f t="shared" si="65"/>
        <v>14.523126315789476</v>
      </c>
    </row>
    <row r="27" spans="1:281">
      <c r="A27" s="247"/>
      <c r="B27" s="247"/>
      <c r="C27" s="247"/>
      <c r="D27" s="247"/>
      <c r="E27" s="247"/>
      <c r="F27" s="247"/>
      <c r="H27" s="300"/>
      <c r="J27" s="301"/>
      <c r="AO27" s="89">
        <v>2037</v>
      </c>
      <c r="AP27" s="170">
        <f t="shared" si="181"/>
        <v>-1.6320000000000005E-2</v>
      </c>
      <c r="AQ27" s="170">
        <f t="shared" si="182"/>
        <v>-3.750000000000002E-3</v>
      </c>
      <c r="AR27" s="170">
        <f t="shared" si="183"/>
        <v>-1.1249999999999998E-2</v>
      </c>
      <c r="AS27" s="170">
        <f t="shared" si="184"/>
        <v>-2.5714285714285717E-2</v>
      </c>
      <c r="AU27" s="170">
        <f t="shared" si="185"/>
        <v>-2.8540145985401458E-2</v>
      </c>
      <c r="AV27" s="170">
        <f t="shared" si="186"/>
        <v>-5.9148418491484181E-2</v>
      </c>
      <c r="AW27" s="170">
        <f t="shared" si="187"/>
        <v>-0.13897810218978102</v>
      </c>
      <c r="AY27" s="170">
        <f t="shared" si="188"/>
        <v>-8.4839999999999985E-2</v>
      </c>
      <c r="AZ27" s="278">
        <f t="shared" si="189"/>
        <v>4.7133333333333315E-3</v>
      </c>
      <c r="BA27" s="284">
        <f t="shared" si="190"/>
        <v>-3.0577516382608673E-2</v>
      </c>
      <c r="BB27" s="276">
        <f t="shared" si="191"/>
        <v>-2.0782901739130423E-2</v>
      </c>
      <c r="BC27" s="277">
        <f t="shared" si="192"/>
        <v>-1.6380812347826075E-2</v>
      </c>
      <c r="BD27" s="278">
        <f t="shared" si="193"/>
        <v>4.7133333333333315E-3</v>
      </c>
      <c r="BE27" s="284">
        <f t="shared" si="194"/>
        <v>-3.0577516382608715E-2</v>
      </c>
      <c r="BF27" s="276">
        <f t="shared" si="195"/>
        <v>-2.0782901739130423E-2</v>
      </c>
      <c r="BG27" s="277">
        <f t="shared" si="196"/>
        <v>-1.6380812347826096E-2</v>
      </c>
      <c r="BH27" s="278">
        <f t="shared" si="197"/>
        <v>9.0899999999999939E-3</v>
      </c>
      <c r="BI27" s="284">
        <f t="shared" si="198"/>
        <v>-6.1155032765217415E-2</v>
      </c>
      <c r="BJ27" s="276">
        <f t="shared" si="199"/>
        <v>-4.1565803478260908E-2</v>
      </c>
      <c r="BK27" s="277">
        <f t="shared" si="200"/>
        <v>-3.2761624695652192E-2</v>
      </c>
      <c r="BL27" s="278">
        <f t="shared" si="201"/>
        <v>9.0899999999999939E-3</v>
      </c>
      <c r="BM27" s="284">
        <f t="shared" si="202"/>
        <v>-6.1155032765217374E-2</v>
      </c>
      <c r="BN27" s="276">
        <f t="shared" si="203"/>
        <v>-4.1565803478260832E-2</v>
      </c>
      <c r="BO27" s="277">
        <f t="shared" si="204"/>
        <v>-3.2761624695652164E-2</v>
      </c>
      <c r="BP27" s="278">
        <f t="shared" si="205"/>
        <v>9.0899999999999939E-3</v>
      </c>
      <c r="BQ27" s="284">
        <f t="shared" si="206"/>
        <v>-6.1155032765217429E-2</v>
      </c>
      <c r="BR27" s="276">
        <f t="shared" si="207"/>
        <v>-4.1565803478260901E-2</v>
      </c>
      <c r="BS27" s="277">
        <f t="shared" si="208"/>
        <v>-3.2761624695652199E-2</v>
      </c>
      <c r="BT27" s="278">
        <f t="shared" si="209"/>
        <v>9.0899999999999939E-3</v>
      </c>
      <c r="BU27" s="284">
        <f t="shared" si="210"/>
        <v>-6.1155032765217374E-2</v>
      </c>
      <c r="BV27" s="276">
        <f t="shared" si="211"/>
        <v>-4.1565803478260846E-2</v>
      </c>
      <c r="BW27" s="278">
        <f t="shared" si="212"/>
        <v>-3.276162469565215E-2</v>
      </c>
      <c r="BX27" s="391">
        <f t="shared" si="66"/>
        <v>-4.814333333333333E-2</v>
      </c>
      <c r="BY27" s="392">
        <f t="shared" si="67"/>
        <v>-0.13104649878260871</v>
      </c>
      <c r="BZ27" s="278"/>
      <c r="CB27" s="279">
        <f t="shared" si="213"/>
        <v>-0.36854095238095236</v>
      </c>
      <c r="CC27" s="64">
        <f t="shared" si="214"/>
        <v>-0.38020843139544508</v>
      </c>
      <c r="CD27" s="64">
        <f t="shared" si="215"/>
        <v>-0.39187591040993786</v>
      </c>
      <c r="CE27" s="64">
        <f t="shared" si="216"/>
        <v>-0.41554753510559006</v>
      </c>
      <c r="CF27" s="64">
        <f t="shared" si="217"/>
        <v>-0.43921915980124226</v>
      </c>
      <c r="CG27" s="64">
        <f t="shared" si="218"/>
        <v>-0.46289078449689447</v>
      </c>
      <c r="CH27" s="64">
        <f t="shared" si="219"/>
        <v>-0.48656240919254662</v>
      </c>
      <c r="CI27">
        <v>2037</v>
      </c>
      <c r="CJ27" s="240"/>
      <c r="CL27">
        <v>2037</v>
      </c>
      <c r="CM27" s="3">
        <f t="shared" si="68"/>
        <v>0.95</v>
      </c>
      <c r="CN27" s="64">
        <f t="shared" si="23"/>
        <v>0.93367999999999995</v>
      </c>
      <c r="CO27" s="64">
        <f t="shared" si="24"/>
        <v>0.92992999999999992</v>
      </c>
      <c r="CP27" s="64">
        <f t="shared" si="25"/>
        <v>0.91867999999999994</v>
      </c>
      <c r="CQ27" s="64">
        <f t="shared" si="26"/>
        <v>0.89296571428571425</v>
      </c>
      <c r="CR27" s="64">
        <f t="shared" si="27"/>
        <v>0.86442556830031281</v>
      </c>
      <c r="CS27" s="64">
        <f t="shared" si="28"/>
        <v>0.80527714980882859</v>
      </c>
      <c r="CT27" s="64">
        <f t="shared" si="29"/>
        <v>0.66629904761904757</v>
      </c>
      <c r="CU27" s="64">
        <f t="shared" si="30"/>
        <v>0.58145904761904754</v>
      </c>
      <c r="CV27" s="64">
        <f t="shared" si="31"/>
        <v>0.58617238095238089</v>
      </c>
      <c r="CW27" s="65">
        <f t="shared" si="69"/>
        <v>0.56979156860455482</v>
      </c>
      <c r="CX27" s="64">
        <f t="shared" si="70"/>
        <v>0.59088571428571424</v>
      </c>
      <c r="CY27" s="65">
        <f t="shared" si="71"/>
        <v>0.5581240895900621</v>
      </c>
      <c r="CZ27" s="64">
        <f t="shared" si="72"/>
        <v>0.59997571428571428</v>
      </c>
      <c r="DA27" s="65">
        <f t="shared" si="73"/>
        <v>0.53445246489441001</v>
      </c>
      <c r="DB27" s="64">
        <f t="shared" si="74"/>
        <v>0.60906571428571432</v>
      </c>
      <c r="DC27" s="65">
        <f t="shared" si="75"/>
        <v>0.51078084019875791</v>
      </c>
      <c r="DD27" s="64">
        <f t="shared" si="76"/>
        <v>0.61815571428571436</v>
      </c>
      <c r="DE27" s="65">
        <f t="shared" si="77"/>
        <v>0.48710921550310576</v>
      </c>
      <c r="DF27" s="64">
        <f t="shared" si="78"/>
        <v>0.62724571428571441</v>
      </c>
      <c r="DG27" s="65">
        <f t="shared" si="79"/>
        <v>0.46343759080745367</v>
      </c>
      <c r="DL27">
        <v>2037</v>
      </c>
      <c r="DM27" s="64">
        <f t="shared" si="80"/>
        <v>0.46343759080745367</v>
      </c>
      <c r="DN27" s="64">
        <f t="shared" si="81"/>
        <v>0.48710921550310576</v>
      </c>
      <c r="DO27" s="64">
        <f t="shared" si="82"/>
        <v>0.51078084019875791</v>
      </c>
      <c r="DP27" s="64">
        <f t="shared" si="83"/>
        <v>0.53445246489441001</v>
      </c>
      <c r="DQ27" s="64">
        <f t="shared" si="84"/>
        <v>0.5581240895900621</v>
      </c>
      <c r="DR27" s="64">
        <f t="shared" si="85"/>
        <v>0.56979156860455482</v>
      </c>
      <c r="DS27" s="64">
        <f t="shared" si="32"/>
        <v>0.58145904761904754</v>
      </c>
      <c r="DT27" s="64">
        <f t="shared" si="33"/>
        <v>0.66629904761904757</v>
      </c>
      <c r="DU27" s="64">
        <f t="shared" si="34"/>
        <v>0.80527714980882859</v>
      </c>
      <c r="DV27" s="64">
        <f t="shared" si="35"/>
        <v>0.86442556830031281</v>
      </c>
      <c r="DW27" s="64">
        <f t="shared" si="36"/>
        <v>0.89296571428571425</v>
      </c>
      <c r="DX27" s="64">
        <f t="shared" si="37"/>
        <v>0.91867999999999994</v>
      </c>
      <c r="DY27" s="64">
        <f t="shared" si="38"/>
        <v>0.92992999999999992</v>
      </c>
      <c r="DZ27" s="64">
        <f t="shared" si="39"/>
        <v>0.93367999999999995</v>
      </c>
      <c r="EA27" s="3">
        <f t="shared" si="86"/>
        <v>0.95</v>
      </c>
      <c r="EB27">
        <v>2037</v>
      </c>
      <c r="EC27" s="269">
        <f t="shared" si="87"/>
        <v>0.46343759080745373</v>
      </c>
      <c r="ED27" s="269">
        <f t="shared" si="88"/>
        <v>0.05</v>
      </c>
      <c r="EE27" s="64">
        <f t="shared" si="89"/>
        <v>2.3671624695652094E-2</v>
      </c>
      <c r="EF27" s="64">
        <f t="shared" si="90"/>
        <v>2.3671624695652149E-2</v>
      </c>
      <c r="EG27" s="64">
        <f t="shared" si="91"/>
        <v>2.3671624695652094E-2</v>
      </c>
      <c r="EH27" s="64">
        <f t="shared" si="92"/>
        <v>2.3671624695652094E-2</v>
      </c>
      <c r="EI27" s="64">
        <f t="shared" si="93"/>
        <v>1.1667479014492721E-2</v>
      </c>
      <c r="EJ27" s="64">
        <f t="shared" si="94"/>
        <v>1.1667479014492721E-2</v>
      </c>
      <c r="EK27" s="64">
        <f t="shared" si="95"/>
        <v>8.4840000000000027E-2</v>
      </c>
      <c r="EL27" s="64">
        <f t="shared" si="96"/>
        <v>0.13897810218978102</v>
      </c>
      <c r="EM27" s="64">
        <f t="shared" si="97"/>
        <v>5.9148418491484223E-2</v>
      </c>
      <c r="EN27" s="64">
        <f t="shared" si="98"/>
        <v>2.8540145985401444E-2</v>
      </c>
      <c r="EO27" s="64">
        <f t="shared" si="99"/>
        <v>2.571428571428569E-2</v>
      </c>
      <c r="EP27" s="64">
        <f t="shared" si="100"/>
        <v>1.1249999999999982E-2</v>
      </c>
      <c r="EQ27" s="64">
        <f t="shared" si="101"/>
        <v>3.7500000000000311E-3</v>
      </c>
      <c r="ER27" s="64">
        <f t="shared" si="102"/>
        <v>1.6320000000000001E-2</v>
      </c>
      <c r="EX27" s="89">
        <v>2037</v>
      </c>
      <c r="EY27" s="278">
        <f t="shared" si="103"/>
        <v>1.0066666666666666</v>
      </c>
      <c r="EZ27" s="278"/>
      <c r="FA27" s="278">
        <f t="shared" si="104"/>
        <v>0.52010425747412004</v>
      </c>
      <c r="FB27" s="278">
        <f t="shared" si="41"/>
        <v>0.05</v>
      </c>
      <c r="FC27" s="64">
        <f t="shared" si="42"/>
        <v>0.16380812347826085</v>
      </c>
      <c r="FD27" s="64">
        <f t="shared" si="105"/>
        <v>3.9053333333333336E-2</v>
      </c>
      <c r="FE27" s="64">
        <f t="shared" si="106"/>
        <v>0.13897810218978102</v>
      </c>
      <c r="FF27" s="64">
        <f t="shared" si="107"/>
        <v>5.9148418491484223E-2</v>
      </c>
      <c r="FG27" s="64">
        <f t="shared" si="108"/>
        <v>2.8540145985401444E-2</v>
      </c>
      <c r="FH27" s="64">
        <f t="shared" si="109"/>
        <v>2.571428571428569E-2</v>
      </c>
      <c r="FI27" s="64">
        <f t="shared" si="110"/>
        <v>1.1249999999999982E-2</v>
      </c>
      <c r="FJ27" s="64">
        <f t="shared" si="111"/>
        <v>3.7500000000000311E-3</v>
      </c>
      <c r="FK27" s="280">
        <f t="shared" si="112"/>
        <v>1.6320000000000001E-2</v>
      </c>
      <c r="FL27" s="64"/>
      <c r="FM27" s="89">
        <v>2037</v>
      </c>
      <c r="FN27" s="278">
        <f t="shared" si="113"/>
        <v>1.0066666666666666</v>
      </c>
      <c r="FP27" s="278">
        <f t="shared" si="114"/>
        <v>0.54377588216977224</v>
      </c>
      <c r="FQ27" s="278">
        <f t="shared" si="115"/>
        <v>0.05</v>
      </c>
      <c r="FR27" s="64">
        <f t="shared" si="116"/>
        <v>0.13104649878260871</v>
      </c>
      <c r="FS27" s="64">
        <f t="shared" si="117"/>
        <v>4.814333333333333E-2</v>
      </c>
      <c r="FT27" s="64">
        <f t="shared" si="118"/>
        <v>0.13897810218978102</v>
      </c>
      <c r="FU27" s="64">
        <f t="shared" si="119"/>
        <v>5.9148418491484223E-2</v>
      </c>
      <c r="FV27" s="64">
        <f t="shared" si="120"/>
        <v>2.8540145985401444E-2</v>
      </c>
      <c r="FW27" s="64">
        <f t="shared" si="121"/>
        <v>2.571428571428569E-2</v>
      </c>
      <c r="FX27" s="64">
        <f t="shared" si="122"/>
        <v>1.1249999999999982E-2</v>
      </c>
      <c r="FY27" s="64">
        <f t="shared" si="123"/>
        <v>3.7500000000000311E-3</v>
      </c>
      <c r="FZ27" s="280">
        <f t="shared" si="124"/>
        <v>1.6320000000000001E-2</v>
      </c>
      <c r="GA27" s="64"/>
      <c r="GB27" s="89">
        <v>2037</v>
      </c>
      <c r="GC27" s="278">
        <f t="shared" si="125"/>
        <v>1.0066666666666666</v>
      </c>
      <c r="GE27" s="278">
        <f t="shared" si="126"/>
        <v>0.56744750686542433</v>
      </c>
      <c r="GF27" s="278">
        <f t="shared" si="127"/>
        <v>0.05</v>
      </c>
      <c r="GG27" s="64">
        <f t="shared" si="128"/>
        <v>9.828487408695652E-2</v>
      </c>
      <c r="GH27" s="64">
        <f t="shared" si="129"/>
        <v>5.7233333333333324E-2</v>
      </c>
      <c r="GI27" s="64">
        <f t="shared" si="130"/>
        <v>0.13897810218978102</v>
      </c>
      <c r="GJ27" s="64">
        <f t="shared" si="131"/>
        <v>5.9148418491484223E-2</v>
      </c>
      <c r="GK27" s="64">
        <f t="shared" si="132"/>
        <v>2.8540145985401444E-2</v>
      </c>
      <c r="GL27" s="64">
        <f t="shared" si="133"/>
        <v>2.571428571428569E-2</v>
      </c>
      <c r="GM27" s="64">
        <f t="shared" si="134"/>
        <v>1.1249999999999982E-2</v>
      </c>
      <c r="GN27" s="64">
        <f t="shared" si="135"/>
        <v>3.7500000000000311E-3</v>
      </c>
      <c r="GO27" s="280">
        <f t="shared" si="136"/>
        <v>1.6320000000000001E-2</v>
      </c>
      <c r="GP27" s="64"/>
      <c r="GQ27" s="89">
        <v>2037</v>
      </c>
      <c r="GR27" s="278">
        <f t="shared" si="137"/>
        <v>1.0066666666666666</v>
      </c>
      <c r="GT27" s="278">
        <f t="shared" si="138"/>
        <v>0.59111913156107654</v>
      </c>
      <c r="GU27" s="278">
        <f t="shared" si="139"/>
        <v>0.05</v>
      </c>
      <c r="GV27" s="64">
        <f t="shared" si="140"/>
        <v>6.5523249391304356E-2</v>
      </c>
      <c r="GW27" s="64">
        <f t="shared" si="141"/>
        <v>6.6323333333333317E-2</v>
      </c>
      <c r="GX27" s="64">
        <f t="shared" si="43"/>
        <v>0.13897810218978102</v>
      </c>
      <c r="GY27" s="64">
        <f t="shared" si="44"/>
        <v>5.9148418491484223E-2</v>
      </c>
      <c r="GZ27" s="64">
        <f t="shared" si="45"/>
        <v>2.8540145985401444E-2</v>
      </c>
      <c r="HA27" s="64">
        <f t="shared" si="46"/>
        <v>2.571428571428569E-2</v>
      </c>
      <c r="HB27" s="64">
        <f t="shared" si="47"/>
        <v>1.1249999999999982E-2</v>
      </c>
      <c r="HC27" s="64">
        <f t="shared" si="48"/>
        <v>3.7500000000000311E-3</v>
      </c>
      <c r="HD27" s="280">
        <f t="shared" si="49"/>
        <v>1.6320000000000001E-2</v>
      </c>
      <c r="HE27" s="64"/>
      <c r="HF27" s="89">
        <v>2037</v>
      </c>
      <c r="HG27" s="278">
        <f t="shared" si="142"/>
        <v>1.0066666666666666</v>
      </c>
      <c r="HI27" s="278">
        <f t="shared" si="143"/>
        <v>0.61479075625672874</v>
      </c>
      <c r="HJ27" s="278">
        <f t="shared" si="144"/>
        <v>0.05</v>
      </c>
      <c r="HK27" s="64">
        <f t="shared" si="145"/>
        <v>3.2761624695652171E-2</v>
      </c>
      <c r="HL27" s="64">
        <f t="shared" si="146"/>
        <v>7.5413333333333318E-2</v>
      </c>
      <c r="HM27" s="64">
        <f t="shared" si="147"/>
        <v>0.13897810218978102</v>
      </c>
      <c r="HN27" s="64">
        <f t="shared" si="148"/>
        <v>5.9148418491484223E-2</v>
      </c>
      <c r="HO27" s="64">
        <f t="shared" si="149"/>
        <v>2.8540145985401444E-2</v>
      </c>
      <c r="HP27" s="64">
        <f t="shared" si="150"/>
        <v>2.571428571428569E-2</v>
      </c>
      <c r="HQ27" s="64">
        <f t="shared" si="151"/>
        <v>1.1249999999999982E-2</v>
      </c>
      <c r="HR27" s="64">
        <f t="shared" si="152"/>
        <v>3.7500000000000311E-3</v>
      </c>
      <c r="HS27" s="280">
        <f t="shared" si="153"/>
        <v>1.6320000000000001E-2</v>
      </c>
      <c r="HT27" s="64"/>
      <c r="HU27" s="89">
        <v>2037</v>
      </c>
      <c r="HV27" s="278">
        <f t="shared" si="154"/>
        <v>1.0066666666666666</v>
      </c>
      <c r="HX27" s="278">
        <f t="shared" si="155"/>
        <v>0.62645823527122146</v>
      </c>
      <c r="HY27" s="278">
        <f t="shared" si="156"/>
        <v>0.05</v>
      </c>
      <c r="HZ27" s="64">
        <f t="shared" si="157"/>
        <v>1.6380812347826075E-2</v>
      </c>
      <c r="IA27" s="64">
        <f t="shared" si="158"/>
        <v>8.0126666666666652E-2</v>
      </c>
      <c r="IB27" s="64">
        <f t="shared" si="159"/>
        <v>0.13897810218978102</v>
      </c>
      <c r="IC27" s="64">
        <f t="shared" si="160"/>
        <v>5.9148418491484223E-2</v>
      </c>
      <c r="ID27" s="64">
        <f t="shared" si="161"/>
        <v>2.8540145985401444E-2</v>
      </c>
      <c r="IE27" s="64">
        <f t="shared" si="162"/>
        <v>2.571428571428569E-2</v>
      </c>
      <c r="IF27" s="64">
        <f t="shared" si="163"/>
        <v>1.1249999999999982E-2</v>
      </c>
      <c r="IG27" s="64">
        <f t="shared" si="164"/>
        <v>3.7500000000000311E-3</v>
      </c>
      <c r="IH27" s="280">
        <f t="shared" si="165"/>
        <v>1.6320000000000001E-2</v>
      </c>
      <c r="II27" s="64"/>
      <c r="IJ27" s="89">
        <v>2037</v>
      </c>
      <c r="IK27" s="278">
        <f t="shared" si="166"/>
        <v>1.0066666666666666</v>
      </c>
      <c r="IM27" s="278">
        <f t="shared" si="167"/>
        <v>0.63812571428571419</v>
      </c>
      <c r="IN27" s="278">
        <f t="shared" si="168"/>
        <v>0.05</v>
      </c>
      <c r="IO27" s="64">
        <v>0</v>
      </c>
      <c r="IP27" s="64">
        <f t="shared" si="169"/>
        <v>8.4839999999999985E-2</v>
      </c>
      <c r="IQ27" s="64">
        <f t="shared" si="50"/>
        <v>0.13897810218978102</v>
      </c>
      <c r="IR27" s="64">
        <f t="shared" si="51"/>
        <v>5.9148418491484223E-2</v>
      </c>
      <c r="IS27" s="64">
        <f t="shared" si="52"/>
        <v>2.8540145985401444E-2</v>
      </c>
      <c r="IT27" s="64">
        <f t="shared" si="53"/>
        <v>2.571428571428569E-2</v>
      </c>
      <c r="IU27" s="64">
        <f t="shared" si="54"/>
        <v>1.1249999999999982E-2</v>
      </c>
      <c r="IV27" s="64">
        <f t="shared" si="55"/>
        <v>3.7500000000000311E-3</v>
      </c>
      <c r="IW27" s="280">
        <f t="shared" si="56"/>
        <v>1.6320000000000001E-2</v>
      </c>
      <c r="IX27" s="3">
        <f t="shared" si="170"/>
        <v>0.45481286549707534</v>
      </c>
      <c r="IY27">
        <f t="shared" si="57"/>
        <v>2037</v>
      </c>
      <c r="IZ27" s="3">
        <f t="shared" si="171"/>
        <v>14.435095714285715</v>
      </c>
      <c r="JA27" s="353">
        <f>HLOOKUP(JA$3,'Main calculations'!JG$8:JS$39,20,FALSE)</f>
        <v>14.506770778180233</v>
      </c>
      <c r="JB27" s="3">
        <f t="shared" si="172"/>
        <v>17.61</v>
      </c>
      <c r="JC27" s="353">
        <f t="shared" si="173"/>
        <v>18.536842105263158</v>
      </c>
      <c r="JD27" s="368">
        <f t="shared" si="174"/>
        <v>12.683877192982456</v>
      </c>
      <c r="JE27" s="369">
        <f t="shared" si="175"/>
        <v>13.351449676823638</v>
      </c>
      <c r="JF27" s="363">
        <f t="shared" si="176"/>
        <v>13.617343037184263</v>
      </c>
      <c r="JG27" s="362">
        <f t="shared" si="58"/>
        <v>14.334045302299225</v>
      </c>
      <c r="JH27" s="366">
        <f t="shared" si="59"/>
        <v>13.78143223927122</v>
      </c>
      <c r="JI27" s="367">
        <f t="shared" si="9"/>
        <v>14.506770778180233</v>
      </c>
      <c r="JJ27" s="363">
        <f t="shared" si="60"/>
        <v>13.945521441358178</v>
      </c>
      <c r="JK27" s="362">
        <f t="shared" si="61"/>
        <v>14.67949625406124</v>
      </c>
      <c r="JL27" s="366">
        <f t="shared" si="177"/>
        <v>14.109610643445134</v>
      </c>
      <c r="JM27" s="367">
        <f t="shared" si="62"/>
        <v>14.852221729942247</v>
      </c>
      <c r="JN27" s="363">
        <f t="shared" si="178"/>
        <v>14.273699845532089</v>
      </c>
      <c r="JO27" s="362">
        <f t="shared" si="63"/>
        <v>15.024947205823253</v>
      </c>
      <c r="JP27" s="366">
        <f t="shared" si="179"/>
        <v>14.354397779908901</v>
      </c>
      <c r="JQ27" s="367">
        <f t="shared" si="64"/>
        <v>15.109892399904107</v>
      </c>
      <c r="JR27" s="363">
        <f t="shared" si="180"/>
        <v>14.435095714285715</v>
      </c>
      <c r="JS27" s="362">
        <f t="shared" si="65"/>
        <v>15.194837593984964</v>
      </c>
    </row>
    <row r="28" spans="1:281">
      <c r="A28" s="247" t="s">
        <v>106</v>
      </c>
      <c r="B28" s="247"/>
      <c r="C28" s="247"/>
      <c r="D28" s="247"/>
      <c r="E28" s="247"/>
      <c r="F28" s="247"/>
      <c r="H28" s="723"/>
      <c r="I28" s="583"/>
      <c r="J28" s="724"/>
      <c r="AO28" s="89">
        <v>2038</v>
      </c>
      <c r="AP28" s="170">
        <f t="shared" si="181"/>
        <v>-1.7280000000000004E-2</v>
      </c>
      <c r="AQ28" s="170">
        <f t="shared" si="182"/>
        <v>-4.0000000000000018E-3</v>
      </c>
      <c r="AR28" s="170">
        <f t="shared" si="183"/>
        <v>-1.2115384615384613E-2</v>
      </c>
      <c r="AS28" s="170">
        <f t="shared" si="184"/>
        <v>-2.8928571428571432E-2</v>
      </c>
      <c r="AU28" s="170">
        <f t="shared" si="185"/>
        <v>-3.0218978102189778E-2</v>
      </c>
      <c r="AV28" s="170">
        <f t="shared" si="186"/>
        <v>-6.2627737226277375E-2</v>
      </c>
      <c r="AW28" s="170">
        <f t="shared" si="187"/>
        <v>-0.14715328467153285</v>
      </c>
      <c r="AY28" s="170">
        <f t="shared" si="188"/>
        <v>-8.4839999999999971E-2</v>
      </c>
      <c r="AZ28" s="278">
        <f t="shared" si="189"/>
        <v>5.0275555555555533E-3</v>
      </c>
      <c r="BA28" s="284">
        <f t="shared" si="190"/>
        <v>-3.1209611269565195E-2</v>
      </c>
      <c r="BB28" s="276">
        <f t="shared" si="191"/>
        <v>-2.2168428521739118E-2</v>
      </c>
      <c r="BC28" s="277">
        <f t="shared" si="192"/>
        <v>-1.7834063582608681E-2</v>
      </c>
      <c r="BD28" s="278">
        <f t="shared" si="193"/>
        <v>5.0275555555555533E-3</v>
      </c>
      <c r="BE28" s="284">
        <f t="shared" si="194"/>
        <v>-3.1209611269565236E-2</v>
      </c>
      <c r="BF28" s="276">
        <f t="shared" si="195"/>
        <v>-2.2168428521739118E-2</v>
      </c>
      <c r="BG28" s="277">
        <f t="shared" si="196"/>
        <v>-1.7834063582608708E-2</v>
      </c>
      <c r="BH28" s="278">
        <f t="shared" si="197"/>
        <v>9.6959999999999928E-3</v>
      </c>
      <c r="BI28" s="284">
        <f t="shared" si="198"/>
        <v>-6.2419222539130459E-2</v>
      </c>
      <c r="BJ28" s="276">
        <f t="shared" si="199"/>
        <v>-4.4336857043478305E-2</v>
      </c>
      <c r="BK28" s="277">
        <f t="shared" si="200"/>
        <v>-3.566812716521741E-2</v>
      </c>
      <c r="BL28" s="278">
        <f t="shared" si="201"/>
        <v>9.6959999999999928E-3</v>
      </c>
      <c r="BM28" s="284">
        <f t="shared" si="202"/>
        <v>-6.2419222539130417E-2</v>
      </c>
      <c r="BN28" s="276">
        <f t="shared" si="203"/>
        <v>-4.4336857043478221E-2</v>
      </c>
      <c r="BO28" s="277">
        <f t="shared" si="204"/>
        <v>-3.5668127165217382E-2</v>
      </c>
      <c r="BP28" s="278">
        <f t="shared" si="205"/>
        <v>9.6959999999999928E-3</v>
      </c>
      <c r="BQ28" s="284">
        <f t="shared" si="206"/>
        <v>-6.2419222539130473E-2</v>
      </c>
      <c r="BR28" s="276">
        <f t="shared" si="207"/>
        <v>-4.4336857043478298E-2</v>
      </c>
      <c r="BS28" s="277">
        <f t="shared" si="208"/>
        <v>-3.5668127165217424E-2</v>
      </c>
      <c r="BT28" s="278">
        <f t="shared" si="209"/>
        <v>9.6959999999999928E-3</v>
      </c>
      <c r="BU28" s="284">
        <f t="shared" si="210"/>
        <v>-6.2419222539130417E-2</v>
      </c>
      <c r="BV28" s="276">
        <f t="shared" si="211"/>
        <v>-4.4336857043478235E-2</v>
      </c>
      <c r="BW28" s="278">
        <f t="shared" si="212"/>
        <v>-3.5668127165217368E-2</v>
      </c>
      <c r="BX28" s="391">
        <f t="shared" si="66"/>
        <v>-4.5696888888888884E-2</v>
      </c>
      <c r="BY28" s="392">
        <f t="shared" si="67"/>
        <v>-0.14267250866086961</v>
      </c>
      <c r="BZ28" s="278"/>
      <c r="CB28" s="279">
        <f t="shared" si="213"/>
        <v>-0.38716395604395598</v>
      </c>
      <c r="CC28" s="64">
        <f t="shared" si="214"/>
        <v>-0.39997046407100911</v>
      </c>
      <c r="CD28" s="64">
        <f t="shared" si="215"/>
        <v>-0.41277697209806224</v>
      </c>
      <c r="CE28" s="64">
        <f t="shared" si="216"/>
        <v>-0.43874909926327965</v>
      </c>
      <c r="CF28" s="64">
        <f t="shared" si="217"/>
        <v>-0.46472122642849706</v>
      </c>
      <c r="CG28" s="64">
        <f t="shared" si="218"/>
        <v>-0.49069335359371452</v>
      </c>
      <c r="CH28" s="64">
        <f t="shared" si="219"/>
        <v>-0.51666548075893193</v>
      </c>
      <c r="CI28">
        <v>2038</v>
      </c>
      <c r="CJ28" s="240"/>
      <c r="CL28">
        <v>2038</v>
      </c>
      <c r="CM28" s="3">
        <f t="shared" si="68"/>
        <v>0.95</v>
      </c>
      <c r="CN28" s="64">
        <f t="shared" si="23"/>
        <v>0.93271999999999999</v>
      </c>
      <c r="CO28" s="64">
        <f t="shared" si="24"/>
        <v>0.92871999999999999</v>
      </c>
      <c r="CP28" s="64">
        <f t="shared" si="25"/>
        <v>0.91660461538461535</v>
      </c>
      <c r="CQ28" s="64">
        <f t="shared" si="26"/>
        <v>0.88767604395604394</v>
      </c>
      <c r="CR28" s="64">
        <f t="shared" si="27"/>
        <v>0.85745706585385417</v>
      </c>
      <c r="CS28" s="64">
        <f t="shared" si="28"/>
        <v>0.79482932862757683</v>
      </c>
      <c r="CT28" s="64">
        <f t="shared" si="29"/>
        <v>0.64767604395604395</v>
      </c>
      <c r="CU28" s="64">
        <f t="shared" si="30"/>
        <v>0.56283604395604403</v>
      </c>
      <c r="CV28" s="64">
        <f t="shared" si="31"/>
        <v>0.56786359951159959</v>
      </c>
      <c r="CW28" s="65">
        <f t="shared" si="69"/>
        <v>0.55002953592899095</v>
      </c>
      <c r="CX28" s="64">
        <f t="shared" si="70"/>
        <v>0.57289115506715516</v>
      </c>
      <c r="CY28" s="65">
        <f t="shared" si="71"/>
        <v>0.53722302790193777</v>
      </c>
      <c r="CZ28" s="64">
        <f t="shared" si="72"/>
        <v>0.58258715506715519</v>
      </c>
      <c r="DA28" s="65">
        <f t="shared" si="73"/>
        <v>0.51125090073672042</v>
      </c>
      <c r="DB28" s="64">
        <f t="shared" si="74"/>
        <v>0.59228315506715523</v>
      </c>
      <c r="DC28" s="65">
        <f t="shared" si="75"/>
        <v>0.48527877357150306</v>
      </c>
      <c r="DD28" s="64">
        <f t="shared" si="76"/>
        <v>0.60197915506715527</v>
      </c>
      <c r="DE28" s="65">
        <f t="shared" si="77"/>
        <v>0.45930664640628566</v>
      </c>
      <c r="DF28" s="64">
        <f t="shared" si="78"/>
        <v>0.61167515506715531</v>
      </c>
      <c r="DG28" s="65">
        <f t="shared" si="79"/>
        <v>0.43333451924106831</v>
      </c>
      <c r="DL28">
        <v>2038</v>
      </c>
      <c r="DM28" s="64">
        <f t="shared" si="80"/>
        <v>0.43333451924106831</v>
      </c>
      <c r="DN28" s="64">
        <f t="shared" si="81"/>
        <v>0.45930664640628566</v>
      </c>
      <c r="DO28" s="64">
        <f t="shared" si="82"/>
        <v>0.48527877357150306</v>
      </c>
      <c r="DP28" s="64">
        <f t="shared" si="83"/>
        <v>0.51125090073672042</v>
      </c>
      <c r="DQ28" s="64">
        <f t="shared" si="84"/>
        <v>0.53722302790193777</v>
      </c>
      <c r="DR28" s="64">
        <f t="shared" si="85"/>
        <v>0.55002953592899095</v>
      </c>
      <c r="DS28" s="64">
        <f t="shared" si="32"/>
        <v>0.56283604395604403</v>
      </c>
      <c r="DT28" s="64">
        <f t="shared" si="33"/>
        <v>0.64767604395604395</v>
      </c>
      <c r="DU28" s="64">
        <f t="shared" si="34"/>
        <v>0.79482932862757683</v>
      </c>
      <c r="DV28" s="64">
        <f t="shared" si="35"/>
        <v>0.85745706585385417</v>
      </c>
      <c r="DW28" s="64">
        <f t="shared" si="36"/>
        <v>0.88767604395604394</v>
      </c>
      <c r="DX28" s="64">
        <f t="shared" si="37"/>
        <v>0.91660461538461535</v>
      </c>
      <c r="DY28" s="64">
        <f t="shared" si="38"/>
        <v>0.92871999999999999</v>
      </c>
      <c r="DZ28" s="64">
        <f t="shared" si="39"/>
        <v>0.93271999999999999</v>
      </c>
      <c r="EA28" s="3">
        <f t="shared" si="86"/>
        <v>0.95</v>
      </c>
      <c r="EB28">
        <v>2038</v>
      </c>
      <c r="EC28" s="269">
        <f t="shared" si="87"/>
        <v>0.43333451924106836</v>
      </c>
      <c r="ED28" s="269">
        <f t="shared" si="88"/>
        <v>0.05</v>
      </c>
      <c r="EE28" s="64">
        <f t="shared" si="89"/>
        <v>2.5972127165217351E-2</v>
      </c>
      <c r="EF28" s="64">
        <f t="shared" si="90"/>
        <v>2.5972127165217407E-2</v>
      </c>
      <c r="EG28" s="64">
        <f t="shared" si="91"/>
        <v>2.5972127165217351E-2</v>
      </c>
      <c r="EH28" s="64">
        <f t="shared" si="92"/>
        <v>2.5972127165217351E-2</v>
      </c>
      <c r="EI28" s="64">
        <f t="shared" si="93"/>
        <v>1.2806508027053187E-2</v>
      </c>
      <c r="EJ28" s="64">
        <f t="shared" si="94"/>
        <v>1.2806508027053076E-2</v>
      </c>
      <c r="EK28" s="64">
        <f t="shared" si="95"/>
        <v>8.4839999999999915E-2</v>
      </c>
      <c r="EL28" s="64">
        <f t="shared" si="96"/>
        <v>0.14715328467153288</v>
      </c>
      <c r="EM28" s="64">
        <f t="shared" si="97"/>
        <v>6.2627737226277347E-2</v>
      </c>
      <c r="EN28" s="64">
        <f t="shared" si="98"/>
        <v>3.0218978102189764E-2</v>
      </c>
      <c r="EO28" s="64">
        <f t="shared" si="99"/>
        <v>2.8928571428571415E-2</v>
      </c>
      <c r="EP28" s="64">
        <f t="shared" si="100"/>
        <v>1.2115384615384639E-2</v>
      </c>
      <c r="EQ28" s="64">
        <f t="shared" si="101"/>
        <v>4.0000000000000036E-3</v>
      </c>
      <c r="ER28" s="64">
        <f t="shared" si="102"/>
        <v>1.7279999999999962E-2</v>
      </c>
      <c r="EX28" s="89">
        <v>2038</v>
      </c>
      <c r="EY28" s="278">
        <f t="shared" si="103"/>
        <v>1.01</v>
      </c>
      <c r="EZ28" s="278"/>
      <c r="FA28" s="278">
        <f t="shared" si="104"/>
        <v>0.49333451924106808</v>
      </c>
      <c r="FB28" s="278">
        <f t="shared" si="41"/>
        <v>0.05</v>
      </c>
      <c r="FC28" s="64">
        <f t="shared" si="42"/>
        <v>0.17834063582608697</v>
      </c>
      <c r="FD28" s="64">
        <f t="shared" si="105"/>
        <v>3.6000888888888888E-2</v>
      </c>
      <c r="FE28" s="64">
        <f t="shared" si="106"/>
        <v>0.14715328467153288</v>
      </c>
      <c r="FF28" s="64">
        <f t="shared" si="107"/>
        <v>6.2627737226277347E-2</v>
      </c>
      <c r="FG28" s="64">
        <f t="shared" si="108"/>
        <v>3.0218978102189764E-2</v>
      </c>
      <c r="FH28" s="64">
        <f t="shared" si="109"/>
        <v>2.8928571428571415E-2</v>
      </c>
      <c r="FI28" s="64">
        <f t="shared" si="110"/>
        <v>1.2115384615384639E-2</v>
      </c>
      <c r="FJ28" s="64">
        <f t="shared" si="111"/>
        <v>4.0000000000000036E-3</v>
      </c>
      <c r="FK28" s="280">
        <f t="shared" si="112"/>
        <v>1.7279999999999962E-2</v>
      </c>
      <c r="FL28" s="64"/>
      <c r="FM28" s="89">
        <v>2038</v>
      </c>
      <c r="FN28" s="278">
        <f t="shared" si="113"/>
        <v>1.01</v>
      </c>
      <c r="FP28" s="278">
        <f t="shared" si="114"/>
        <v>0.51930664640628543</v>
      </c>
      <c r="FQ28" s="278">
        <f t="shared" si="115"/>
        <v>0.05</v>
      </c>
      <c r="FR28" s="64">
        <f t="shared" si="116"/>
        <v>0.14267250866086961</v>
      </c>
      <c r="FS28" s="64">
        <f t="shared" si="117"/>
        <v>4.5696888888888884E-2</v>
      </c>
      <c r="FT28" s="64">
        <f t="shared" si="118"/>
        <v>0.14715328467153288</v>
      </c>
      <c r="FU28" s="64">
        <f t="shared" si="119"/>
        <v>6.2627737226277347E-2</v>
      </c>
      <c r="FV28" s="64">
        <f t="shared" si="120"/>
        <v>3.0218978102189764E-2</v>
      </c>
      <c r="FW28" s="64">
        <f t="shared" si="121"/>
        <v>2.8928571428571415E-2</v>
      </c>
      <c r="FX28" s="64">
        <f t="shared" si="122"/>
        <v>1.2115384615384639E-2</v>
      </c>
      <c r="FY28" s="64">
        <f t="shared" si="123"/>
        <v>4.0000000000000036E-3</v>
      </c>
      <c r="FZ28" s="280">
        <f t="shared" si="124"/>
        <v>1.7279999999999962E-2</v>
      </c>
      <c r="GA28" s="64"/>
      <c r="GB28" s="89">
        <v>2038</v>
      </c>
      <c r="GC28" s="278">
        <f t="shared" si="125"/>
        <v>1.01</v>
      </c>
      <c r="GE28" s="278">
        <f t="shared" si="126"/>
        <v>0.54527877357150289</v>
      </c>
      <c r="GF28" s="278">
        <f t="shared" si="127"/>
        <v>0.05</v>
      </c>
      <c r="GG28" s="64">
        <f t="shared" si="128"/>
        <v>0.1070043814956522</v>
      </c>
      <c r="GH28" s="64">
        <f t="shared" si="129"/>
        <v>5.539288888888888E-2</v>
      </c>
      <c r="GI28" s="64">
        <f t="shared" si="130"/>
        <v>0.14715328467153288</v>
      </c>
      <c r="GJ28" s="64">
        <f t="shared" si="131"/>
        <v>6.2627737226277347E-2</v>
      </c>
      <c r="GK28" s="64">
        <f t="shared" si="132"/>
        <v>3.0218978102189764E-2</v>
      </c>
      <c r="GL28" s="64">
        <f t="shared" si="133"/>
        <v>2.8928571428571415E-2</v>
      </c>
      <c r="GM28" s="64">
        <f t="shared" si="134"/>
        <v>1.2115384615384639E-2</v>
      </c>
      <c r="GN28" s="64">
        <f t="shared" si="135"/>
        <v>4.0000000000000036E-3</v>
      </c>
      <c r="GO28" s="280">
        <f t="shared" si="136"/>
        <v>1.7279999999999962E-2</v>
      </c>
      <c r="GP28" s="64"/>
      <c r="GQ28" s="89">
        <v>2038</v>
      </c>
      <c r="GR28" s="278">
        <f t="shared" si="137"/>
        <v>1.01</v>
      </c>
      <c r="GT28" s="278">
        <f t="shared" si="138"/>
        <v>0.57125090073672036</v>
      </c>
      <c r="GU28" s="278">
        <f t="shared" si="139"/>
        <v>0.05</v>
      </c>
      <c r="GV28" s="64">
        <f t="shared" si="140"/>
        <v>7.1336254330434806E-2</v>
      </c>
      <c r="GW28" s="64">
        <f t="shared" si="141"/>
        <v>6.5088888888888877E-2</v>
      </c>
      <c r="GX28" s="64">
        <f t="shared" si="43"/>
        <v>0.14715328467153288</v>
      </c>
      <c r="GY28" s="64">
        <f t="shared" si="44"/>
        <v>6.2627737226277347E-2</v>
      </c>
      <c r="GZ28" s="64">
        <f t="shared" si="45"/>
        <v>3.0218978102189764E-2</v>
      </c>
      <c r="HA28" s="64">
        <f t="shared" si="46"/>
        <v>2.8928571428571415E-2</v>
      </c>
      <c r="HB28" s="64">
        <f t="shared" si="47"/>
        <v>1.2115384615384639E-2</v>
      </c>
      <c r="HC28" s="64">
        <f t="shared" si="48"/>
        <v>4.0000000000000036E-3</v>
      </c>
      <c r="HD28" s="280">
        <f t="shared" si="49"/>
        <v>1.7279999999999962E-2</v>
      </c>
      <c r="HE28" s="64"/>
      <c r="HF28" s="89">
        <v>2038</v>
      </c>
      <c r="HG28" s="278">
        <f t="shared" si="142"/>
        <v>1.01</v>
      </c>
      <c r="HI28" s="278">
        <f t="shared" si="143"/>
        <v>0.59722302790193771</v>
      </c>
      <c r="HJ28" s="278">
        <f t="shared" si="144"/>
        <v>0.05</v>
      </c>
      <c r="HK28" s="64">
        <f t="shared" si="145"/>
        <v>3.5668127165217389E-2</v>
      </c>
      <c r="HL28" s="64">
        <f t="shared" si="146"/>
        <v>7.4784888888888873E-2</v>
      </c>
      <c r="HM28" s="64">
        <f t="shared" si="147"/>
        <v>0.14715328467153288</v>
      </c>
      <c r="HN28" s="64">
        <f t="shared" si="148"/>
        <v>6.2627737226277347E-2</v>
      </c>
      <c r="HO28" s="64">
        <f t="shared" si="149"/>
        <v>3.0218978102189764E-2</v>
      </c>
      <c r="HP28" s="64">
        <f t="shared" si="150"/>
        <v>2.8928571428571415E-2</v>
      </c>
      <c r="HQ28" s="64">
        <f t="shared" si="151"/>
        <v>1.2115384615384639E-2</v>
      </c>
      <c r="HR28" s="64">
        <f t="shared" si="152"/>
        <v>4.0000000000000036E-3</v>
      </c>
      <c r="HS28" s="280">
        <f t="shared" si="153"/>
        <v>1.7279999999999962E-2</v>
      </c>
      <c r="HT28" s="64"/>
      <c r="HU28" s="89">
        <v>2038</v>
      </c>
      <c r="HV28" s="278">
        <f t="shared" si="154"/>
        <v>1.01</v>
      </c>
      <c r="HX28" s="278">
        <f t="shared" si="155"/>
        <v>0.6100295359289909</v>
      </c>
      <c r="HY28" s="278">
        <f t="shared" si="156"/>
        <v>0.05</v>
      </c>
      <c r="HZ28" s="64">
        <f t="shared" si="157"/>
        <v>1.7834063582608681E-2</v>
      </c>
      <c r="IA28" s="64">
        <f t="shared" si="158"/>
        <v>7.9812444444444422E-2</v>
      </c>
      <c r="IB28" s="64">
        <f t="shared" si="159"/>
        <v>0.14715328467153288</v>
      </c>
      <c r="IC28" s="64">
        <f t="shared" si="160"/>
        <v>6.2627737226277347E-2</v>
      </c>
      <c r="ID28" s="64">
        <f t="shared" si="161"/>
        <v>3.0218978102189764E-2</v>
      </c>
      <c r="IE28" s="64">
        <f t="shared" si="162"/>
        <v>2.8928571428571415E-2</v>
      </c>
      <c r="IF28" s="64">
        <f t="shared" si="163"/>
        <v>1.2115384615384639E-2</v>
      </c>
      <c r="IG28" s="64">
        <f t="shared" si="164"/>
        <v>4.0000000000000036E-3</v>
      </c>
      <c r="IH28" s="280">
        <f t="shared" si="165"/>
        <v>1.7279999999999962E-2</v>
      </c>
      <c r="II28" s="64"/>
      <c r="IJ28" s="89">
        <v>2038</v>
      </c>
      <c r="IK28" s="278">
        <f t="shared" si="166"/>
        <v>1.01</v>
      </c>
      <c r="IM28" s="278">
        <f t="shared" si="167"/>
        <v>0.62283604395604408</v>
      </c>
      <c r="IN28" s="278">
        <f t="shared" si="168"/>
        <v>0.05</v>
      </c>
      <c r="IO28" s="64">
        <v>0</v>
      </c>
      <c r="IP28" s="64">
        <f t="shared" si="169"/>
        <v>8.4839999999999971E-2</v>
      </c>
      <c r="IQ28" s="64">
        <f t="shared" si="50"/>
        <v>0.14715328467153288</v>
      </c>
      <c r="IR28" s="64">
        <f t="shared" si="51"/>
        <v>6.2627737226277347E-2</v>
      </c>
      <c r="IS28" s="64">
        <f t="shared" si="52"/>
        <v>3.0218978102189764E-2</v>
      </c>
      <c r="IT28" s="64">
        <f t="shared" si="53"/>
        <v>2.8928571428571415E-2</v>
      </c>
      <c r="IU28" s="64">
        <f t="shared" si="54"/>
        <v>1.2115384615384639E-2</v>
      </c>
      <c r="IV28" s="64">
        <f t="shared" si="55"/>
        <v>4.0000000000000036E-3</v>
      </c>
      <c r="IW28" s="280">
        <f t="shared" si="56"/>
        <v>1.7279999999999962E-2</v>
      </c>
      <c r="IX28" s="3">
        <f t="shared" si="170"/>
        <v>0.42478947368421061</v>
      </c>
      <c r="IY28">
        <f t="shared" si="57"/>
        <v>2038</v>
      </c>
      <c r="IZ28" s="3">
        <f t="shared" si="171"/>
        <v>15.057931758241759</v>
      </c>
      <c r="JA28" s="353">
        <f>HLOOKUP(JA$3,'Main calculations'!JG$8:JS$39,21,FALSE)</f>
        <v>15.053409353344744</v>
      </c>
      <c r="JB28" s="3">
        <f t="shared" si="172"/>
        <v>18.62</v>
      </c>
      <c r="JC28" s="353">
        <f t="shared" si="173"/>
        <v>19.600000000000001</v>
      </c>
      <c r="JD28" s="368">
        <f t="shared" si="174"/>
        <v>13.108666666666666</v>
      </c>
      <c r="JE28" s="369">
        <f t="shared" si="175"/>
        <v>13.79859649122807</v>
      </c>
      <c r="JF28" s="363">
        <f t="shared" si="176"/>
        <v>14.110677556425332</v>
      </c>
      <c r="JG28" s="362">
        <f t="shared" si="58"/>
        <v>14.853344796237192</v>
      </c>
      <c r="JH28" s="366">
        <f t="shared" si="59"/>
        <v>14.300738885677506</v>
      </c>
      <c r="JI28" s="367">
        <f t="shared" si="9"/>
        <v>15.053409353344744</v>
      </c>
      <c r="JJ28" s="363">
        <f t="shared" si="60"/>
        <v>14.490800214929681</v>
      </c>
      <c r="JK28" s="362">
        <f t="shared" si="61"/>
        <v>15.253473910452296</v>
      </c>
      <c r="JL28" s="366">
        <f t="shared" si="177"/>
        <v>14.680861544181854</v>
      </c>
      <c r="JM28" s="367">
        <f t="shared" si="62"/>
        <v>15.453538467559847</v>
      </c>
      <c r="JN28" s="363">
        <f t="shared" si="178"/>
        <v>14.870922873434028</v>
      </c>
      <c r="JO28" s="362">
        <f t="shared" si="63"/>
        <v>15.653603024667397</v>
      </c>
      <c r="JP28" s="366">
        <f t="shared" si="179"/>
        <v>14.964427315837892</v>
      </c>
      <c r="JQ28" s="367">
        <f t="shared" si="64"/>
        <v>15.752028753513571</v>
      </c>
      <c r="JR28" s="363">
        <f t="shared" si="180"/>
        <v>15.057931758241759</v>
      </c>
      <c r="JS28" s="362">
        <f t="shared" si="65"/>
        <v>15.850454482359748</v>
      </c>
    </row>
    <row r="29" spans="1:281" ht="14.5" customHeight="1">
      <c r="A29" s="690" t="s">
        <v>107</v>
      </c>
      <c r="B29" s="690"/>
      <c r="C29" s="690"/>
      <c r="D29" s="690"/>
      <c r="E29" s="690"/>
      <c r="F29" s="690"/>
      <c r="G29" s="1"/>
      <c r="H29" s="723" t="s">
        <v>115</v>
      </c>
      <c r="I29" s="583"/>
      <c r="J29" s="724"/>
      <c r="AO29" s="89">
        <v>2039</v>
      </c>
      <c r="AP29" s="170">
        <f t="shared" si="181"/>
        <v>-1.8240000000000003E-2</v>
      </c>
      <c r="AQ29" s="170">
        <f t="shared" si="182"/>
        <v>-4.250000000000002E-3</v>
      </c>
      <c r="AR29" s="170">
        <f t="shared" si="183"/>
        <v>-1.2980769230769228E-2</v>
      </c>
      <c r="AS29" s="170">
        <f t="shared" si="184"/>
        <v>-3.2142857142857147E-2</v>
      </c>
      <c r="AU29" s="170">
        <f t="shared" si="185"/>
        <v>-3.1897810218978098E-2</v>
      </c>
      <c r="AV29" s="170">
        <f t="shared" si="186"/>
        <v>-6.6107055961070568E-2</v>
      </c>
      <c r="AW29" s="170">
        <f t="shared" si="187"/>
        <v>-0.15532846715328469</v>
      </c>
      <c r="AY29" s="170">
        <f t="shared" si="188"/>
        <v>-8.4839999999999971E-2</v>
      </c>
      <c r="AZ29" s="278">
        <f t="shared" si="189"/>
        <v>5.3417777777777752E-3</v>
      </c>
      <c r="BA29" s="284">
        <f t="shared" si="190"/>
        <v>-3.1841706156521717E-2</v>
      </c>
      <c r="BB29" s="276">
        <f t="shared" si="191"/>
        <v>-2.3553955304347812E-2</v>
      </c>
      <c r="BC29" s="277">
        <f t="shared" si="192"/>
        <v>-1.93324644521739E-2</v>
      </c>
      <c r="BD29" s="278">
        <f t="shared" si="193"/>
        <v>5.3417777777777752E-3</v>
      </c>
      <c r="BE29" s="284">
        <f t="shared" si="194"/>
        <v>-3.1841706156521758E-2</v>
      </c>
      <c r="BF29" s="276">
        <f t="shared" si="195"/>
        <v>-2.3553955304347812E-2</v>
      </c>
      <c r="BG29" s="277">
        <f t="shared" si="196"/>
        <v>-1.9332464452173924E-2</v>
      </c>
      <c r="BH29" s="278">
        <f t="shared" si="197"/>
        <v>1.0301999999999992E-2</v>
      </c>
      <c r="BI29" s="284">
        <f t="shared" si="198"/>
        <v>-6.3683412313043503E-2</v>
      </c>
      <c r="BJ29" s="276">
        <f t="shared" si="199"/>
        <v>-4.7107910608695701E-2</v>
      </c>
      <c r="BK29" s="277">
        <f t="shared" si="200"/>
        <v>-3.8664928904347848E-2</v>
      </c>
      <c r="BL29" s="278">
        <f t="shared" si="201"/>
        <v>1.0301999999999992E-2</v>
      </c>
      <c r="BM29" s="284">
        <f t="shared" si="202"/>
        <v>-6.3683412313043461E-2</v>
      </c>
      <c r="BN29" s="276">
        <f t="shared" si="203"/>
        <v>-4.7107910608695611E-2</v>
      </c>
      <c r="BO29" s="277">
        <f t="shared" si="204"/>
        <v>-3.866492890434782E-2</v>
      </c>
      <c r="BP29" s="278">
        <f t="shared" si="205"/>
        <v>1.0301999999999992E-2</v>
      </c>
      <c r="BQ29" s="284">
        <f t="shared" si="206"/>
        <v>-6.3683412313043516E-2</v>
      </c>
      <c r="BR29" s="276">
        <f t="shared" si="207"/>
        <v>-4.7107910608695694E-2</v>
      </c>
      <c r="BS29" s="277">
        <f t="shared" si="208"/>
        <v>-3.8664928904347862E-2</v>
      </c>
      <c r="BT29" s="278">
        <f t="shared" si="209"/>
        <v>1.0301999999999992E-2</v>
      </c>
      <c r="BU29" s="284">
        <f t="shared" si="210"/>
        <v>-6.3683412313043461E-2</v>
      </c>
      <c r="BV29" s="276">
        <f t="shared" si="211"/>
        <v>-4.7107910608695625E-2</v>
      </c>
      <c r="BW29" s="278">
        <f t="shared" si="212"/>
        <v>-3.8664928904347799E-2</v>
      </c>
      <c r="BX29" s="391">
        <f t="shared" si="66"/>
        <v>-4.3250444444444439E-2</v>
      </c>
      <c r="BY29" s="392">
        <f t="shared" si="67"/>
        <v>-0.15465971561739134</v>
      </c>
      <c r="BZ29" s="278"/>
      <c r="CB29" s="279">
        <f t="shared" si="213"/>
        <v>-0.40578695970695972</v>
      </c>
      <c r="CC29" s="64">
        <f t="shared" si="214"/>
        <v>-0.41977764638135584</v>
      </c>
      <c r="CD29" s="64">
        <f t="shared" si="215"/>
        <v>-0.43376833305575196</v>
      </c>
      <c r="CE29" s="64">
        <f t="shared" si="216"/>
        <v>-0.46213126196009985</v>
      </c>
      <c r="CF29" s="64">
        <f t="shared" si="217"/>
        <v>-0.49049419086444768</v>
      </c>
      <c r="CG29" s="64">
        <f t="shared" si="218"/>
        <v>-0.51885711976879556</v>
      </c>
      <c r="CH29" s="64">
        <f t="shared" si="219"/>
        <v>-0.54722004867314333</v>
      </c>
      <c r="CI29">
        <v>2039</v>
      </c>
      <c r="CJ29" s="240"/>
      <c r="CL29">
        <v>2039</v>
      </c>
      <c r="CM29" s="3">
        <f t="shared" si="68"/>
        <v>0.95</v>
      </c>
      <c r="CN29" s="64">
        <f t="shared" si="23"/>
        <v>0.93175999999999992</v>
      </c>
      <c r="CO29" s="64">
        <f t="shared" si="24"/>
        <v>0.92750999999999995</v>
      </c>
      <c r="CP29" s="64">
        <f t="shared" si="25"/>
        <v>0.91452923076923076</v>
      </c>
      <c r="CQ29" s="64">
        <f t="shared" si="26"/>
        <v>0.88238637362637362</v>
      </c>
      <c r="CR29" s="64">
        <f t="shared" si="27"/>
        <v>0.85048856340739554</v>
      </c>
      <c r="CS29" s="64">
        <f t="shared" si="28"/>
        <v>0.78438150744632495</v>
      </c>
      <c r="CT29" s="64">
        <f t="shared" si="29"/>
        <v>0.62905304029304032</v>
      </c>
      <c r="CU29" s="64">
        <f t="shared" si="30"/>
        <v>0.5442130402930403</v>
      </c>
      <c r="CV29" s="64">
        <f t="shared" si="31"/>
        <v>0.54955481807081807</v>
      </c>
      <c r="CW29" s="65">
        <f t="shared" si="69"/>
        <v>0.53022235361864423</v>
      </c>
      <c r="CX29" s="64">
        <f t="shared" si="70"/>
        <v>0.55489659584859585</v>
      </c>
      <c r="CY29" s="65">
        <f t="shared" si="71"/>
        <v>0.51623166694424805</v>
      </c>
      <c r="CZ29" s="64">
        <f t="shared" si="72"/>
        <v>0.56519859584859589</v>
      </c>
      <c r="DA29" s="65">
        <f t="shared" si="73"/>
        <v>0.48786873803990022</v>
      </c>
      <c r="DB29" s="64">
        <f t="shared" si="74"/>
        <v>0.57550059584859592</v>
      </c>
      <c r="DC29" s="65">
        <f t="shared" si="75"/>
        <v>0.45950580913555245</v>
      </c>
      <c r="DD29" s="64">
        <f t="shared" si="76"/>
        <v>0.58580259584859595</v>
      </c>
      <c r="DE29" s="65">
        <f t="shared" si="77"/>
        <v>0.43114288023120467</v>
      </c>
      <c r="DF29" s="64">
        <f t="shared" si="78"/>
        <v>0.59610459584859599</v>
      </c>
      <c r="DG29" s="65">
        <f t="shared" si="79"/>
        <v>0.4027799513268569</v>
      </c>
      <c r="DL29">
        <v>2039</v>
      </c>
      <c r="DM29" s="64">
        <f t="shared" si="80"/>
        <v>0.4027799513268569</v>
      </c>
      <c r="DN29" s="64">
        <f t="shared" si="81"/>
        <v>0.43114288023120467</v>
      </c>
      <c r="DO29" s="64">
        <f t="shared" si="82"/>
        <v>0.45950580913555245</v>
      </c>
      <c r="DP29" s="64">
        <f t="shared" si="83"/>
        <v>0.48786873803990022</v>
      </c>
      <c r="DQ29" s="64">
        <f t="shared" si="84"/>
        <v>0.51623166694424805</v>
      </c>
      <c r="DR29" s="64">
        <f t="shared" si="85"/>
        <v>0.53022235361864423</v>
      </c>
      <c r="DS29" s="64">
        <f t="shared" si="32"/>
        <v>0.5442130402930403</v>
      </c>
      <c r="DT29" s="64">
        <f t="shared" si="33"/>
        <v>0.62905304029304032</v>
      </c>
      <c r="DU29" s="64">
        <f t="shared" si="34"/>
        <v>0.78438150744632495</v>
      </c>
      <c r="DV29" s="64">
        <f t="shared" si="35"/>
        <v>0.85048856340739554</v>
      </c>
      <c r="DW29" s="64">
        <f t="shared" si="36"/>
        <v>0.88238637362637362</v>
      </c>
      <c r="DX29" s="64">
        <f t="shared" si="37"/>
        <v>0.91452923076923076</v>
      </c>
      <c r="DY29" s="64">
        <f t="shared" si="38"/>
        <v>0.92750999999999995</v>
      </c>
      <c r="DZ29" s="64">
        <f t="shared" si="39"/>
        <v>0.93175999999999992</v>
      </c>
      <c r="EA29" s="3">
        <f t="shared" si="86"/>
        <v>0.95</v>
      </c>
      <c r="EB29">
        <v>2039</v>
      </c>
      <c r="EC29" s="269">
        <f t="shared" si="87"/>
        <v>0.40277995132685696</v>
      </c>
      <c r="ED29" s="269">
        <f t="shared" si="88"/>
        <v>0.05</v>
      </c>
      <c r="EE29" s="64">
        <f t="shared" si="89"/>
        <v>2.8362928904347773E-2</v>
      </c>
      <c r="EF29" s="64">
        <f t="shared" si="90"/>
        <v>2.8362928904347773E-2</v>
      </c>
      <c r="EG29" s="64">
        <f t="shared" si="91"/>
        <v>2.8362928904347773E-2</v>
      </c>
      <c r="EH29" s="64">
        <f t="shared" si="92"/>
        <v>2.8362928904347828E-2</v>
      </c>
      <c r="EI29" s="64">
        <f t="shared" si="93"/>
        <v>1.399068667439618E-2</v>
      </c>
      <c r="EJ29" s="64">
        <f t="shared" si="94"/>
        <v>1.3990686674396069E-2</v>
      </c>
      <c r="EK29" s="64">
        <f t="shared" si="95"/>
        <v>8.4840000000000027E-2</v>
      </c>
      <c r="EL29" s="64">
        <f t="shared" si="96"/>
        <v>0.15532846715328463</v>
      </c>
      <c r="EM29" s="64">
        <f t="shared" si="97"/>
        <v>6.6107055961070582E-2</v>
      </c>
      <c r="EN29" s="64">
        <f t="shared" si="98"/>
        <v>3.1897810218978084E-2</v>
      </c>
      <c r="EO29" s="64">
        <f t="shared" si="99"/>
        <v>3.214285714285714E-2</v>
      </c>
      <c r="EP29" s="64">
        <f t="shared" si="100"/>
        <v>1.2980769230769185E-2</v>
      </c>
      <c r="EQ29" s="64">
        <f t="shared" si="101"/>
        <v>4.249999999999976E-3</v>
      </c>
      <c r="ER29" s="64">
        <f t="shared" si="102"/>
        <v>1.8240000000000034E-2</v>
      </c>
      <c r="EX29" s="89">
        <v>2039</v>
      </c>
      <c r="EY29" s="278">
        <f t="shared" si="103"/>
        <v>1.0133333333333332</v>
      </c>
      <c r="EZ29" s="278"/>
      <c r="FA29" s="278">
        <f t="shared" si="104"/>
        <v>0.46611328466018997</v>
      </c>
      <c r="FB29" s="278">
        <f t="shared" si="41"/>
        <v>0.05</v>
      </c>
      <c r="FC29" s="64">
        <f t="shared" si="42"/>
        <v>0.19332464452173914</v>
      </c>
      <c r="FD29" s="64">
        <f t="shared" si="105"/>
        <v>3.2948444444444447E-2</v>
      </c>
      <c r="FE29" s="64">
        <f t="shared" si="106"/>
        <v>0.15532846715328463</v>
      </c>
      <c r="FF29" s="64">
        <f t="shared" si="107"/>
        <v>6.6107055961070582E-2</v>
      </c>
      <c r="FG29" s="64">
        <f t="shared" si="108"/>
        <v>3.1897810218978084E-2</v>
      </c>
      <c r="FH29" s="64">
        <f t="shared" si="109"/>
        <v>3.214285714285714E-2</v>
      </c>
      <c r="FI29" s="64">
        <f t="shared" si="110"/>
        <v>1.2980769230769185E-2</v>
      </c>
      <c r="FJ29" s="64">
        <f t="shared" si="111"/>
        <v>4.249999999999976E-3</v>
      </c>
      <c r="FK29" s="280">
        <f t="shared" si="112"/>
        <v>1.8240000000000034E-2</v>
      </c>
      <c r="FL29" s="64"/>
      <c r="FM29" s="89">
        <v>2039</v>
      </c>
      <c r="FN29" s="278">
        <f t="shared" si="113"/>
        <v>1.0133333333333332</v>
      </c>
      <c r="FP29" s="278">
        <f t="shared" si="114"/>
        <v>0.49447621356453775</v>
      </c>
      <c r="FQ29" s="278">
        <f t="shared" si="115"/>
        <v>0.05</v>
      </c>
      <c r="FR29" s="64">
        <f t="shared" si="116"/>
        <v>0.15465971561739134</v>
      </c>
      <c r="FS29" s="64">
        <f t="shared" si="117"/>
        <v>4.3250444444444439E-2</v>
      </c>
      <c r="FT29" s="64">
        <f t="shared" si="118"/>
        <v>0.15532846715328463</v>
      </c>
      <c r="FU29" s="64">
        <f t="shared" si="119"/>
        <v>6.6107055961070582E-2</v>
      </c>
      <c r="FV29" s="64">
        <f t="shared" si="120"/>
        <v>3.1897810218978084E-2</v>
      </c>
      <c r="FW29" s="64">
        <f t="shared" si="121"/>
        <v>3.214285714285714E-2</v>
      </c>
      <c r="FX29" s="64">
        <f t="shared" si="122"/>
        <v>1.2980769230769185E-2</v>
      </c>
      <c r="FY29" s="64">
        <f t="shared" si="123"/>
        <v>4.249999999999976E-3</v>
      </c>
      <c r="FZ29" s="280">
        <f t="shared" si="124"/>
        <v>1.8240000000000034E-2</v>
      </c>
      <c r="GA29" s="64"/>
      <c r="GB29" s="89">
        <v>2039</v>
      </c>
      <c r="GC29" s="278">
        <f t="shared" si="125"/>
        <v>1.0133333333333332</v>
      </c>
      <c r="GE29" s="278">
        <f t="shared" si="126"/>
        <v>0.52283914246888563</v>
      </c>
      <c r="GF29" s="278">
        <f t="shared" si="127"/>
        <v>0.05</v>
      </c>
      <c r="GG29" s="64">
        <f t="shared" si="128"/>
        <v>0.11599478671304349</v>
      </c>
      <c r="GH29" s="64">
        <f t="shared" si="129"/>
        <v>5.355244444444443E-2</v>
      </c>
      <c r="GI29" s="64">
        <f t="shared" si="130"/>
        <v>0.15532846715328463</v>
      </c>
      <c r="GJ29" s="64">
        <f t="shared" si="131"/>
        <v>6.6107055961070582E-2</v>
      </c>
      <c r="GK29" s="64">
        <f t="shared" si="132"/>
        <v>3.1897810218978084E-2</v>
      </c>
      <c r="GL29" s="64">
        <f t="shared" si="133"/>
        <v>3.214285714285714E-2</v>
      </c>
      <c r="GM29" s="64">
        <f t="shared" si="134"/>
        <v>1.2980769230769185E-2</v>
      </c>
      <c r="GN29" s="64">
        <f t="shared" si="135"/>
        <v>4.249999999999976E-3</v>
      </c>
      <c r="GO29" s="280">
        <f t="shared" si="136"/>
        <v>1.8240000000000034E-2</v>
      </c>
      <c r="GP29" s="64"/>
      <c r="GQ29" s="89">
        <v>2039</v>
      </c>
      <c r="GR29" s="278">
        <f t="shared" si="137"/>
        <v>1.0133333333333332</v>
      </c>
      <c r="GT29" s="278">
        <f t="shared" si="138"/>
        <v>0.55120207137323352</v>
      </c>
      <c r="GU29" s="278">
        <f t="shared" si="139"/>
        <v>0.05</v>
      </c>
      <c r="GV29" s="64">
        <f t="shared" si="140"/>
        <v>7.7329857808695668E-2</v>
      </c>
      <c r="GW29" s="64">
        <f t="shared" si="141"/>
        <v>6.3854444444444422E-2</v>
      </c>
      <c r="GX29" s="64">
        <f t="shared" si="43"/>
        <v>0.15532846715328463</v>
      </c>
      <c r="GY29" s="64">
        <f t="shared" si="44"/>
        <v>6.6107055961070582E-2</v>
      </c>
      <c r="GZ29" s="64">
        <f t="shared" si="45"/>
        <v>3.1897810218978084E-2</v>
      </c>
      <c r="HA29" s="64">
        <f t="shared" si="46"/>
        <v>3.214285714285714E-2</v>
      </c>
      <c r="HB29" s="64">
        <f t="shared" si="47"/>
        <v>1.2980769230769185E-2</v>
      </c>
      <c r="HC29" s="64">
        <f t="shared" si="48"/>
        <v>4.249999999999976E-3</v>
      </c>
      <c r="HD29" s="280">
        <f t="shared" si="49"/>
        <v>1.8240000000000034E-2</v>
      </c>
      <c r="HE29" s="64"/>
      <c r="HF29" s="89">
        <v>2039</v>
      </c>
      <c r="HG29" s="278">
        <f t="shared" si="142"/>
        <v>1.0133333333333332</v>
      </c>
      <c r="HI29" s="278">
        <f t="shared" si="143"/>
        <v>0.5795650002775814</v>
      </c>
      <c r="HJ29" s="278">
        <f t="shared" si="144"/>
        <v>0.05</v>
      </c>
      <c r="HK29" s="64">
        <f t="shared" si="145"/>
        <v>3.866492890434782E-2</v>
      </c>
      <c r="HL29" s="64">
        <f t="shared" si="146"/>
        <v>7.4156444444444414E-2</v>
      </c>
      <c r="HM29" s="64">
        <f t="shared" si="147"/>
        <v>0.15532846715328463</v>
      </c>
      <c r="HN29" s="64">
        <f t="shared" si="148"/>
        <v>6.6107055961070582E-2</v>
      </c>
      <c r="HO29" s="64">
        <f t="shared" si="149"/>
        <v>3.1897810218978084E-2</v>
      </c>
      <c r="HP29" s="64">
        <f t="shared" si="150"/>
        <v>3.214285714285714E-2</v>
      </c>
      <c r="HQ29" s="64">
        <f t="shared" si="151"/>
        <v>1.2980769230769185E-2</v>
      </c>
      <c r="HR29" s="64">
        <f t="shared" si="152"/>
        <v>4.249999999999976E-3</v>
      </c>
      <c r="HS29" s="280">
        <f t="shared" si="153"/>
        <v>1.8240000000000034E-2</v>
      </c>
      <c r="HT29" s="64"/>
      <c r="HU29" s="89">
        <v>2039</v>
      </c>
      <c r="HV29" s="278">
        <f t="shared" si="154"/>
        <v>1.0133333333333332</v>
      </c>
      <c r="HX29" s="278">
        <f t="shared" si="155"/>
        <v>0.59355568695197747</v>
      </c>
      <c r="HY29" s="278">
        <f t="shared" si="156"/>
        <v>0.05</v>
      </c>
      <c r="HZ29" s="64">
        <f t="shared" si="157"/>
        <v>1.93324644521739E-2</v>
      </c>
      <c r="IA29" s="64">
        <f t="shared" si="158"/>
        <v>7.9498222222222192E-2</v>
      </c>
      <c r="IB29" s="64">
        <f t="shared" si="159"/>
        <v>0.15532846715328463</v>
      </c>
      <c r="IC29" s="64">
        <f t="shared" si="160"/>
        <v>6.6107055961070582E-2</v>
      </c>
      <c r="ID29" s="64">
        <f t="shared" si="161"/>
        <v>3.1897810218978084E-2</v>
      </c>
      <c r="IE29" s="64">
        <f t="shared" si="162"/>
        <v>3.214285714285714E-2</v>
      </c>
      <c r="IF29" s="64">
        <f t="shared" si="163"/>
        <v>1.2980769230769185E-2</v>
      </c>
      <c r="IG29" s="64">
        <f t="shared" si="164"/>
        <v>4.249999999999976E-3</v>
      </c>
      <c r="IH29" s="280">
        <f t="shared" si="165"/>
        <v>1.8240000000000034E-2</v>
      </c>
      <c r="II29" s="64"/>
      <c r="IJ29" s="89">
        <v>2039</v>
      </c>
      <c r="IK29" s="278">
        <f t="shared" si="166"/>
        <v>1.0133333333333332</v>
      </c>
      <c r="IM29" s="278">
        <f t="shared" si="167"/>
        <v>0.60754637362637354</v>
      </c>
      <c r="IN29" s="278">
        <f t="shared" si="168"/>
        <v>0.05</v>
      </c>
      <c r="IO29" s="64">
        <v>0</v>
      </c>
      <c r="IP29" s="64">
        <f t="shared" si="169"/>
        <v>8.4839999999999971E-2</v>
      </c>
      <c r="IQ29" s="64">
        <f t="shared" si="50"/>
        <v>0.15532846715328463</v>
      </c>
      <c r="IR29" s="64">
        <f t="shared" si="51"/>
        <v>6.6107055961070582E-2</v>
      </c>
      <c r="IS29" s="64">
        <f t="shared" si="52"/>
        <v>3.1897810218978084E-2</v>
      </c>
      <c r="IT29" s="64">
        <f t="shared" si="53"/>
        <v>3.214285714285714E-2</v>
      </c>
      <c r="IU29" s="64">
        <f t="shared" si="54"/>
        <v>1.2980769230769185E-2</v>
      </c>
      <c r="IV29" s="64">
        <f t="shared" si="55"/>
        <v>4.249999999999976E-3</v>
      </c>
      <c r="IW29" s="280">
        <f t="shared" si="56"/>
        <v>1.8240000000000034E-2</v>
      </c>
      <c r="IX29" s="3">
        <f t="shared" si="170"/>
        <v>0.39466666666666583</v>
      </c>
      <c r="IY29">
        <f t="shared" si="57"/>
        <v>2039</v>
      </c>
      <c r="IZ29" s="3">
        <f t="shared" si="171"/>
        <v>15.665478131868133</v>
      </c>
      <c r="JA29" s="353">
        <f>HLOOKUP(JA$3,'Main calculations'!JG$8:JS$39,22,FALSE)</f>
        <v>15.573910630781098</v>
      </c>
      <c r="JB29" s="3">
        <f t="shared" si="172"/>
        <v>19.633333333333333</v>
      </c>
      <c r="JC29" s="353">
        <f t="shared" si="173"/>
        <v>20.666666666666668</v>
      </c>
      <c r="JD29" s="368">
        <f t="shared" si="174"/>
        <v>13.503333333333332</v>
      </c>
      <c r="JE29" s="369">
        <f t="shared" si="175"/>
        <v>14.214035087719298</v>
      </c>
      <c r="JF29" s="363">
        <f t="shared" si="176"/>
        <v>14.576790841085522</v>
      </c>
      <c r="JG29" s="362">
        <f t="shared" si="58"/>
        <v>15.343990359037392</v>
      </c>
      <c r="JH29" s="366">
        <f t="shared" si="59"/>
        <v>14.795215099242043</v>
      </c>
      <c r="JI29" s="367">
        <f t="shared" si="9"/>
        <v>15.573910630781098</v>
      </c>
      <c r="JJ29" s="363">
        <f t="shared" si="60"/>
        <v>15.013639357398567</v>
      </c>
      <c r="JK29" s="362">
        <f t="shared" si="61"/>
        <v>15.803830902524808</v>
      </c>
      <c r="JL29" s="366">
        <f t="shared" si="177"/>
        <v>15.232063615555088</v>
      </c>
      <c r="JM29" s="367">
        <f t="shared" si="62"/>
        <v>16.033751174268513</v>
      </c>
      <c r="JN29" s="363">
        <f t="shared" si="178"/>
        <v>15.450487873711609</v>
      </c>
      <c r="JO29" s="362">
        <f t="shared" si="63"/>
        <v>16.263671446012221</v>
      </c>
      <c r="JP29" s="366">
        <f t="shared" si="179"/>
        <v>15.55798300278987</v>
      </c>
      <c r="JQ29" s="367">
        <f t="shared" si="64"/>
        <v>16.376824213463021</v>
      </c>
      <c r="JR29" s="363">
        <f t="shared" si="180"/>
        <v>15.665478131868133</v>
      </c>
      <c r="JS29" s="362">
        <f t="shared" si="65"/>
        <v>16.489976980913823</v>
      </c>
    </row>
    <row r="30" spans="1:281">
      <c r="A30" s="247"/>
      <c r="B30" s="247"/>
      <c r="C30" s="247"/>
      <c r="D30" s="247"/>
      <c r="E30" s="293"/>
      <c r="F30" s="293"/>
      <c r="G30" s="293"/>
      <c r="H30" s="302"/>
      <c r="I30" s="293"/>
      <c r="J30" s="303"/>
      <c r="AO30" s="89">
        <v>2040</v>
      </c>
      <c r="AP30" s="170">
        <f t="shared" si="181"/>
        <v>-1.9200000000000002E-2</v>
      </c>
      <c r="AQ30" s="170">
        <f t="shared" si="182"/>
        <v>-4.5000000000000023E-3</v>
      </c>
      <c r="AR30" s="170">
        <f t="shared" si="183"/>
        <v>-1.3846153846153843E-2</v>
      </c>
      <c r="AS30" s="170">
        <f t="shared" si="184"/>
        <v>-3.5357142857142865E-2</v>
      </c>
      <c r="AU30" s="170">
        <f t="shared" si="185"/>
        <v>-3.3576642335766418E-2</v>
      </c>
      <c r="AV30" s="170">
        <f t="shared" si="186"/>
        <v>-6.9586374695863762E-2</v>
      </c>
      <c r="AW30" s="170">
        <f t="shared" si="187"/>
        <v>-0.16350364963503652</v>
      </c>
      <c r="AY30" s="170">
        <f t="shared" si="188"/>
        <v>-8.4839999999999971E-2</v>
      </c>
      <c r="AZ30" s="278">
        <f t="shared" si="189"/>
        <v>5.655999999999997E-3</v>
      </c>
      <c r="BA30" s="284">
        <f t="shared" si="190"/>
        <v>-3.2473801043478238E-2</v>
      </c>
      <c r="BB30" s="276">
        <f t="shared" si="191"/>
        <v>-2.4939482086956507E-2</v>
      </c>
      <c r="BC30" s="277">
        <f t="shared" si="192"/>
        <v>-2.0876014956521725E-2</v>
      </c>
      <c r="BD30" s="278">
        <f t="shared" si="193"/>
        <v>5.655999999999997E-3</v>
      </c>
      <c r="BE30" s="284">
        <f t="shared" si="194"/>
        <v>-3.247380104347828E-2</v>
      </c>
      <c r="BF30" s="276">
        <f t="shared" si="195"/>
        <v>-2.4939482086956507E-2</v>
      </c>
      <c r="BG30" s="277">
        <f t="shared" si="196"/>
        <v>-2.0876014956521752E-2</v>
      </c>
      <c r="BH30" s="278">
        <f t="shared" si="197"/>
        <v>1.0907999999999991E-2</v>
      </c>
      <c r="BI30" s="284">
        <f t="shared" si="198"/>
        <v>-6.4947602086956546E-2</v>
      </c>
      <c r="BJ30" s="276">
        <f t="shared" si="199"/>
        <v>-4.9878964173913097E-2</v>
      </c>
      <c r="BK30" s="277">
        <f t="shared" si="200"/>
        <v>-4.1752029913043498E-2</v>
      </c>
      <c r="BL30" s="278">
        <f t="shared" si="201"/>
        <v>1.0907999999999991E-2</v>
      </c>
      <c r="BM30" s="284">
        <f t="shared" si="202"/>
        <v>-6.4947602086956505E-2</v>
      </c>
      <c r="BN30" s="276">
        <f t="shared" si="203"/>
        <v>-4.9878964173913E-2</v>
      </c>
      <c r="BO30" s="277">
        <f t="shared" si="204"/>
        <v>-4.175202991304347E-2</v>
      </c>
      <c r="BP30" s="278">
        <f t="shared" si="205"/>
        <v>1.0907999999999991E-2</v>
      </c>
      <c r="BQ30" s="284">
        <f t="shared" si="206"/>
        <v>-6.494760208695656E-2</v>
      </c>
      <c r="BR30" s="276">
        <f t="shared" si="207"/>
        <v>-4.987896417391309E-2</v>
      </c>
      <c r="BS30" s="277">
        <f t="shared" si="208"/>
        <v>-4.1752029913043526E-2</v>
      </c>
      <c r="BT30" s="278">
        <f t="shared" si="209"/>
        <v>1.0907999999999991E-2</v>
      </c>
      <c r="BU30" s="284">
        <f t="shared" si="210"/>
        <v>-6.4947602086956505E-2</v>
      </c>
      <c r="BV30" s="276">
        <f t="shared" si="211"/>
        <v>-4.9878964173913014E-2</v>
      </c>
      <c r="BW30" s="278">
        <f t="shared" si="212"/>
        <v>-4.1752029913043456E-2</v>
      </c>
      <c r="BX30" s="391">
        <f t="shared" si="66"/>
        <v>-4.0804000000000021E-2</v>
      </c>
      <c r="BY30" s="392">
        <f t="shared" si="67"/>
        <v>-0.16700811965217396</v>
      </c>
      <c r="BZ30" s="278"/>
      <c r="CB30" s="279">
        <f t="shared" si="213"/>
        <v>-0.42440996336996334</v>
      </c>
      <c r="CC30" s="64">
        <f t="shared" si="214"/>
        <v>-0.43962997832648509</v>
      </c>
      <c r="CD30" s="64">
        <f t="shared" si="215"/>
        <v>-0.45484999328300685</v>
      </c>
      <c r="CE30" s="64">
        <f t="shared" si="216"/>
        <v>-0.48569402319605037</v>
      </c>
      <c r="CF30" s="64">
        <f t="shared" si="217"/>
        <v>-0.51653805310909384</v>
      </c>
      <c r="CG30" s="64">
        <f t="shared" si="218"/>
        <v>-0.54738208302213731</v>
      </c>
      <c r="CH30" s="64">
        <f t="shared" si="219"/>
        <v>-0.57822611293518078</v>
      </c>
      <c r="CI30">
        <v>2040</v>
      </c>
      <c r="CJ30" s="240"/>
      <c r="CL30">
        <v>2040</v>
      </c>
      <c r="CM30" s="3">
        <f t="shared" si="68"/>
        <v>0.95</v>
      </c>
      <c r="CN30" s="64">
        <f t="shared" si="23"/>
        <v>0.93079999999999996</v>
      </c>
      <c r="CO30" s="64">
        <f t="shared" si="24"/>
        <v>0.92630000000000001</v>
      </c>
      <c r="CP30" s="64">
        <f t="shared" si="25"/>
        <v>0.91245384615384617</v>
      </c>
      <c r="CQ30" s="64">
        <f t="shared" si="26"/>
        <v>0.87709670329670331</v>
      </c>
      <c r="CR30" s="64">
        <f t="shared" si="27"/>
        <v>0.8435200609609369</v>
      </c>
      <c r="CS30" s="64">
        <f t="shared" si="28"/>
        <v>0.7739336862650732</v>
      </c>
      <c r="CT30" s="64">
        <f t="shared" si="29"/>
        <v>0.6104300366300367</v>
      </c>
      <c r="CU30" s="64">
        <f t="shared" si="30"/>
        <v>0.52559003663003678</v>
      </c>
      <c r="CV30" s="64">
        <f t="shared" si="31"/>
        <v>0.53124603663003678</v>
      </c>
      <c r="CW30" s="65">
        <f t="shared" si="69"/>
        <v>0.51037002167351508</v>
      </c>
      <c r="CX30" s="64">
        <f t="shared" si="70"/>
        <v>0.53690203663003677</v>
      </c>
      <c r="CY30" s="65">
        <f t="shared" si="71"/>
        <v>0.49515000671699333</v>
      </c>
      <c r="CZ30" s="64">
        <f t="shared" si="72"/>
        <v>0.5478100366300368</v>
      </c>
      <c r="DA30" s="65">
        <f t="shared" si="73"/>
        <v>0.4643059768039498</v>
      </c>
      <c r="DB30" s="64">
        <f t="shared" si="74"/>
        <v>0.55871803663003683</v>
      </c>
      <c r="DC30" s="65">
        <f t="shared" si="75"/>
        <v>0.43346194689090634</v>
      </c>
      <c r="DD30" s="64">
        <f t="shared" si="76"/>
        <v>0.56962603663003686</v>
      </c>
      <c r="DE30" s="65">
        <f t="shared" si="77"/>
        <v>0.40261791697786287</v>
      </c>
      <c r="DF30" s="64">
        <f t="shared" si="78"/>
        <v>0.58053403663003689</v>
      </c>
      <c r="DG30" s="65">
        <f t="shared" si="79"/>
        <v>0.37177388706481945</v>
      </c>
      <c r="DL30">
        <v>2040</v>
      </c>
      <c r="DM30" s="64">
        <f t="shared" si="80"/>
        <v>0.37177388706481945</v>
      </c>
      <c r="DN30" s="64">
        <f t="shared" si="81"/>
        <v>0.40261791697786287</v>
      </c>
      <c r="DO30" s="64">
        <f t="shared" si="82"/>
        <v>0.43346194689090634</v>
      </c>
      <c r="DP30" s="64">
        <f t="shared" si="83"/>
        <v>0.4643059768039498</v>
      </c>
      <c r="DQ30" s="64">
        <f t="shared" si="84"/>
        <v>0.49515000671699333</v>
      </c>
      <c r="DR30" s="64">
        <f t="shared" si="85"/>
        <v>0.51037002167351508</v>
      </c>
      <c r="DS30" s="64">
        <f t="shared" si="32"/>
        <v>0.52559003663003678</v>
      </c>
      <c r="DT30" s="64">
        <f t="shared" si="33"/>
        <v>0.6104300366300367</v>
      </c>
      <c r="DU30" s="64">
        <f t="shared" si="34"/>
        <v>0.7739336862650732</v>
      </c>
      <c r="DV30" s="64">
        <f t="shared" si="35"/>
        <v>0.8435200609609369</v>
      </c>
      <c r="DW30" s="64">
        <f t="shared" si="36"/>
        <v>0.87709670329670331</v>
      </c>
      <c r="DX30" s="64">
        <f t="shared" si="37"/>
        <v>0.91245384615384617</v>
      </c>
      <c r="DY30" s="64">
        <f t="shared" si="38"/>
        <v>0.92630000000000001</v>
      </c>
      <c r="DZ30" s="64">
        <f t="shared" si="39"/>
        <v>0.93079999999999996</v>
      </c>
      <c r="EA30" s="3">
        <f t="shared" si="86"/>
        <v>0.95</v>
      </c>
      <c r="EB30">
        <v>2040</v>
      </c>
      <c r="EC30" s="269">
        <f t="shared" si="87"/>
        <v>0.37177388706481951</v>
      </c>
      <c r="ED30" s="269">
        <f t="shared" si="88"/>
        <v>0.05</v>
      </c>
      <c r="EE30" s="64">
        <f t="shared" si="89"/>
        <v>3.0844029913043414E-2</v>
      </c>
      <c r="EF30" s="64">
        <f t="shared" si="90"/>
        <v>3.0844029913043469E-2</v>
      </c>
      <c r="EG30" s="64">
        <f t="shared" si="91"/>
        <v>3.0844029913043469E-2</v>
      </c>
      <c r="EH30" s="64">
        <f t="shared" si="92"/>
        <v>3.0844029913043525E-2</v>
      </c>
      <c r="EI30" s="64">
        <f t="shared" si="93"/>
        <v>1.5220014956521755E-2</v>
      </c>
      <c r="EJ30" s="64">
        <f t="shared" si="94"/>
        <v>1.5220014956521699E-2</v>
      </c>
      <c r="EK30" s="64">
        <f t="shared" si="95"/>
        <v>8.4839999999999915E-2</v>
      </c>
      <c r="EL30" s="64">
        <f t="shared" si="96"/>
        <v>0.1635036496350365</v>
      </c>
      <c r="EM30" s="64">
        <f t="shared" si="97"/>
        <v>6.9586374695863706E-2</v>
      </c>
      <c r="EN30" s="64">
        <f t="shared" si="98"/>
        <v>3.3576642335766405E-2</v>
      </c>
      <c r="EO30" s="64">
        <f t="shared" si="99"/>
        <v>3.5357142857142865E-2</v>
      </c>
      <c r="EP30" s="64">
        <f t="shared" si="100"/>
        <v>1.3846153846153841E-2</v>
      </c>
      <c r="EQ30" s="64">
        <f t="shared" si="101"/>
        <v>4.4999999999999485E-3</v>
      </c>
      <c r="ER30" s="64">
        <f t="shared" si="102"/>
        <v>1.9199999999999995E-2</v>
      </c>
      <c r="EX30" s="89">
        <v>2040</v>
      </c>
      <c r="EY30" s="278">
        <f t="shared" si="103"/>
        <v>1.0166666666666666</v>
      </c>
      <c r="EZ30" s="278"/>
      <c r="FA30" s="278">
        <f t="shared" si="104"/>
        <v>0.43844055373148583</v>
      </c>
      <c r="FB30" s="278">
        <f t="shared" si="41"/>
        <v>0.05</v>
      </c>
      <c r="FC30" s="64">
        <f t="shared" si="42"/>
        <v>0.20876014956521743</v>
      </c>
      <c r="FD30" s="64">
        <f t="shared" si="105"/>
        <v>2.989600000000003E-2</v>
      </c>
      <c r="FE30" s="64">
        <f t="shared" si="106"/>
        <v>0.1635036496350365</v>
      </c>
      <c r="FF30" s="64">
        <f t="shared" si="107"/>
        <v>6.9586374695863706E-2</v>
      </c>
      <c r="FG30" s="64">
        <f t="shared" si="108"/>
        <v>3.3576642335766405E-2</v>
      </c>
      <c r="FH30" s="64">
        <f t="shared" si="109"/>
        <v>3.5357142857142865E-2</v>
      </c>
      <c r="FI30" s="64">
        <f t="shared" si="110"/>
        <v>1.3846153846153841E-2</v>
      </c>
      <c r="FJ30" s="64">
        <f t="shared" si="111"/>
        <v>4.4999999999999485E-3</v>
      </c>
      <c r="FK30" s="280">
        <f t="shared" si="112"/>
        <v>1.9199999999999995E-2</v>
      </c>
      <c r="FL30" s="64"/>
      <c r="FM30" s="89">
        <v>2040</v>
      </c>
      <c r="FN30" s="278">
        <f t="shared" si="113"/>
        <v>1.0166666666666666</v>
      </c>
      <c r="FP30" s="278">
        <f t="shared" si="114"/>
        <v>0.4692845836445293</v>
      </c>
      <c r="FQ30" s="278">
        <f t="shared" si="115"/>
        <v>0.05</v>
      </c>
      <c r="FR30" s="64">
        <f t="shared" si="116"/>
        <v>0.16700811965217396</v>
      </c>
      <c r="FS30" s="64">
        <f t="shared" si="117"/>
        <v>4.0804000000000021E-2</v>
      </c>
      <c r="FT30" s="64">
        <f t="shared" si="118"/>
        <v>0.1635036496350365</v>
      </c>
      <c r="FU30" s="64">
        <f t="shared" si="119"/>
        <v>6.9586374695863706E-2</v>
      </c>
      <c r="FV30" s="64">
        <f t="shared" si="120"/>
        <v>3.3576642335766405E-2</v>
      </c>
      <c r="FW30" s="64">
        <f t="shared" si="121"/>
        <v>3.5357142857142865E-2</v>
      </c>
      <c r="FX30" s="64">
        <f t="shared" si="122"/>
        <v>1.3846153846153841E-2</v>
      </c>
      <c r="FY30" s="64">
        <f t="shared" si="123"/>
        <v>4.4999999999999485E-3</v>
      </c>
      <c r="FZ30" s="280">
        <f t="shared" si="124"/>
        <v>1.9199999999999995E-2</v>
      </c>
      <c r="GA30" s="64"/>
      <c r="GB30" s="89">
        <v>2040</v>
      </c>
      <c r="GC30" s="278">
        <f t="shared" si="125"/>
        <v>1.0166666666666666</v>
      </c>
      <c r="GE30" s="278">
        <f t="shared" si="126"/>
        <v>0.50012861355757288</v>
      </c>
      <c r="GF30" s="278">
        <f t="shared" si="127"/>
        <v>0.05</v>
      </c>
      <c r="GG30" s="64">
        <f t="shared" si="128"/>
        <v>0.12525608973913044</v>
      </c>
      <c r="GH30" s="64">
        <f t="shared" si="129"/>
        <v>5.1712000000000008E-2</v>
      </c>
      <c r="GI30" s="64">
        <f t="shared" si="130"/>
        <v>0.1635036496350365</v>
      </c>
      <c r="GJ30" s="64">
        <f t="shared" si="131"/>
        <v>6.9586374695863706E-2</v>
      </c>
      <c r="GK30" s="64">
        <f t="shared" si="132"/>
        <v>3.3576642335766405E-2</v>
      </c>
      <c r="GL30" s="64">
        <f t="shared" si="133"/>
        <v>3.5357142857142865E-2</v>
      </c>
      <c r="GM30" s="64">
        <f t="shared" si="134"/>
        <v>1.3846153846153841E-2</v>
      </c>
      <c r="GN30" s="64">
        <f t="shared" si="135"/>
        <v>4.4999999999999485E-3</v>
      </c>
      <c r="GO30" s="280">
        <f t="shared" si="136"/>
        <v>1.9199999999999995E-2</v>
      </c>
      <c r="GP30" s="64"/>
      <c r="GQ30" s="89">
        <v>2040</v>
      </c>
      <c r="GR30" s="278">
        <f t="shared" si="137"/>
        <v>1.0166666666666666</v>
      </c>
      <c r="GT30" s="278">
        <f t="shared" si="138"/>
        <v>0.53097264347061635</v>
      </c>
      <c r="GU30" s="278">
        <f t="shared" si="139"/>
        <v>0.05</v>
      </c>
      <c r="GV30" s="64">
        <f t="shared" si="140"/>
        <v>8.3504059826086968E-2</v>
      </c>
      <c r="GW30" s="64">
        <f t="shared" si="141"/>
        <v>6.2619999999999995E-2</v>
      </c>
      <c r="GX30" s="64">
        <f t="shared" si="43"/>
        <v>0.1635036496350365</v>
      </c>
      <c r="GY30" s="64">
        <f t="shared" si="44"/>
        <v>6.9586374695863706E-2</v>
      </c>
      <c r="GZ30" s="64">
        <f t="shared" si="45"/>
        <v>3.3576642335766405E-2</v>
      </c>
      <c r="HA30" s="64">
        <f t="shared" si="46"/>
        <v>3.5357142857142865E-2</v>
      </c>
      <c r="HB30" s="64">
        <f t="shared" si="47"/>
        <v>1.3846153846153841E-2</v>
      </c>
      <c r="HC30" s="64">
        <f t="shared" si="48"/>
        <v>4.4999999999999485E-3</v>
      </c>
      <c r="HD30" s="280">
        <f t="shared" si="49"/>
        <v>1.9199999999999995E-2</v>
      </c>
      <c r="HE30" s="64"/>
      <c r="HF30" s="89">
        <v>2040</v>
      </c>
      <c r="HG30" s="278">
        <f t="shared" si="142"/>
        <v>1.0166666666666666</v>
      </c>
      <c r="HI30" s="278">
        <f t="shared" si="143"/>
        <v>0.56181667338365993</v>
      </c>
      <c r="HJ30" s="278">
        <f t="shared" si="144"/>
        <v>0.05</v>
      </c>
      <c r="HK30" s="64">
        <f t="shared" si="145"/>
        <v>4.1752029913043477E-2</v>
      </c>
      <c r="HL30" s="64">
        <f t="shared" si="146"/>
        <v>7.3527999999999982E-2</v>
      </c>
      <c r="HM30" s="64">
        <f t="shared" si="147"/>
        <v>0.1635036496350365</v>
      </c>
      <c r="HN30" s="64">
        <f t="shared" si="148"/>
        <v>6.9586374695863706E-2</v>
      </c>
      <c r="HO30" s="64">
        <f t="shared" si="149"/>
        <v>3.3576642335766405E-2</v>
      </c>
      <c r="HP30" s="64">
        <f t="shared" si="150"/>
        <v>3.5357142857142865E-2</v>
      </c>
      <c r="HQ30" s="64">
        <f t="shared" si="151"/>
        <v>1.3846153846153841E-2</v>
      </c>
      <c r="HR30" s="64">
        <f t="shared" si="152"/>
        <v>4.4999999999999485E-3</v>
      </c>
      <c r="HS30" s="280">
        <f t="shared" si="153"/>
        <v>1.9199999999999995E-2</v>
      </c>
      <c r="HT30" s="64"/>
      <c r="HU30" s="89">
        <v>2040</v>
      </c>
      <c r="HV30" s="278">
        <f t="shared" si="154"/>
        <v>1.0166666666666666</v>
      </c>
      <c r="HX30" s="278">
        <f t="shared" si="155"/>
        <v>0.57703668834018162</v>
      </c>
      <c r="HY30" s="278">
        <f t="shared" si="156"/>
        <v>0.05</v>
      </c>
      <c r="HZ30" s="64">
        <f t="shared" si="157"/>
        <v>2.0876014956521725E-2</v>
      </c>
      <c r="IA30" s="64">
        <f t="shared" si="158"/>
        <v>7.9183999999999977E-2</v>
      </c>
      <c r="IB30" s="64">
        <f t="shared" si="159"/>
        <v>0.1635036496350365</v>
      </c>
      <c r="IC30" s="64">
        <f t="shared" si="160"/>
        <v>6.9586374695863706E-2</v>
      </c>
      <c r="ID30" s="64">
        <f t="shared" si="161"/>
        <v>3.3576642335766405E-2</v>
      </c>
      <c r="IE30" s="64">
        <f t="shared" si="162"/>
        <v>3.5357142857142865E-2</v>
      </c>
      <c r="IF30" s="64">
        <f t="shared" si="163"/>
        <v>1.3846153846153841E-2</v>
      </c>
      <c r="IG30" s="64">
        <f t="shared" si="164"/>
        <v>4.4999999999999485E-3</v>
      </c>
      <c r="IH30" s="280">
        <f t="shared" si="165"/>
        <v>1.9199999999999995E-2</v>
      </c>
      <c r="II30" s="64"/>
      <c r="IJ30" s="89">
        <v>2040</v>
      </c>
      <c r="IK30" s="278">
        <f t="shared" si="166"/>
        <v>1.0166666666666666</v>
      </c>
      <c r="IM30" s="278">
        <f t="shared" si="167"/>
        <v>0.59225670329670344</v>
      </c>
      <c r="IN30" s="278">
        <f t="shared" si="168"/>
        <v>0.05</v>
      </c>
      <c r="IO30" s="64">
        <v>0</v>
      </c>
      <c r="IP30" s="64">
        <f t="shared" si="169"/>
        <v>8.4839999999999971E-2</v>
      </c>
      <c r="IQ30" s="64">
        <f t="shared" si="50"/>
        <v>0.1635036496350365</v>
      </c>
      <c r="IR30" s="64">
        <f t="shared" si="51"/>
        <v>6.9586374695863706E-2</v>
      </c>
      <c r="IS30" s="64">
        <f t="shared" si="52"/>
        <v>3.3576642335766405E-2</v>
      </c>
      <c r="IT30" s="64">
        <f t="shared" si="53"/>
        <v>3.5357142857142865E-2</v>
      </c>
      <c r="IU30" s="64">
        <f t="shared" si="54"/>
        <v>1.3846153846153841E-2</v>
      </c>
      <c r="IV30" s="64">
        <f t="shared" si="55"/>
        <v>4.4999999999999485E-3</v>
      </c>
      <c r="IW30" s="280">
        <f t="shared" si="56"/>
        <v>1.9199999999999995E-2</v>
      </c>
      <c r="IX30" s="3">
        <f t="shared" si="170"/>
        <v>0.36444444444444457</v>
      </c>
      <c r="IY30">
        <f t="shared" si="57"/>
        <v>2040</v>
      </c>
      <c r="IZ30" s="3">
        <f t="shared" si="171"/>
        <v>16.257734835164836</v>
      </c>
      <c r="JA30" s="353">
        <f>HLOOKUP(JA$3,'Main calculations'!JG$8:JS$39,23,FALSE)</f>
        <v>16.067894403038498</v>
      </c>
      <c r="JB30" s="3">
        <f t="shared" si="172"/>
        <v>20.65</v>
      </c>
      <c r="JC30" s="353">
        <f t="shared" si="173"/>
        <v>21.736842105263158</v>
      </c>
      <c r="JD30" s="368">
        <f t="shared" si="174"/>
        <v>13.867777777777777</v>
      </c>
      <c r="JE30" s="369">
        <f t="shared" si="175"/>
        <v>14.59766081871345</v>
      </c>
      <c r="JF30" s="363">
        <f t="shared" si="176"/>
        <v>15.015231394817008</v>
      </c>
      <c r="JG30" s="362">
        <f t="shared" si="58"/>
        <v>15.805506731386325</v>
      </c>
      <c r="JH30" s="366">
        <f t="shared" si="59"/>
        <v>15.264499682886573</v>
      </c>
      <c r="JI30" s="367">
        <f t="shared" si="9"/>
        <v>16.067894403038498</v>
      </c>
      <c r="JJ30" s="363">
        <f t="shared" si="60"/>
        <v>15.51376797095614</v>
      </c>
      <c r="JK30" s="362">
        <f t="shared" si="61"/>
        <v>16.330282074690675</v>
      </c>
      <c r="JL30" s="366">
        <f t="shared" si="177"/>
        <v>15.763036259025704</v>
      </c>
      <c r="JM30" s="367">
        <f t="shared" si="62"/>
        <v>16.592669746342846</v>
      </c>
      <c r="JN30" s="363">
        <f t="shared" si="178"/>
        <v>16.012304547095269</v>
      </c>
      <c r="JO30" s="362">
        <f t="shared" si="63"/>
        <v>16.85505741799502</v>
      </c>
      <c r="JP30" s="366">
        <f t="shared" si="179"/>
        <v>16.135019691130051</v>
      </c>
      <c r="JQ30" s="367">
        <f t="shared" si="64"/>
        <v>16.984231253821108</v>
      </c>
      <c r="JR30" s="363">
        <f t="shared" si="180"/>
        <v>16.257734835164836</v>
      </c>
      <c r="JS30" s="362">
        <f t="shared" si="65"/>
        <v>17.113405089647198</v>
      </c>
    </row>
    <row r="31" spans="1:281">
      <c r="A31" s="259">
        <f>'1 StrategyMix for CarbonTargets'!V29</f>
        <v>0.2</v>
      </c>
      <c r="B31" s="247"/>
      <c r="C31" s="247"/>
      <c r="D31" s="247"/>
      <c r="E31" s="294"/>
      <c r="F31" s="294"/>
      <c r="G31" s="294" t="s">
        <v>93</v>
      </c>
      <c r="H31" s="302" cm="1">
        <f t="array" ref="H31">INDEX('SHIFT_from car driver'!AI10:AI54,MATCH(1,(A9='SHIFT_from car driver'!A10:A54)*(A31='SHIFT_from car driver'!B10:B54),0))</f>
        <v>1.0442349528643945E-2</v>
      </c>
      <c r="I31" s="304" cm="1">
        <f t="array" ref="I31">INDEX('SHIFT_from car driver'!AE10:AE54,MATCH(1,(A9='SHIFT_from car driver'!A10:A54)*(A31='SHIFT_from car driver'!B10:B54),0))</f>
        <v>2.3629590207557213E-2</v>
      </c>
      <c r="J31" s="305" cm="1">
        <f t="array" ref="J31">INDEX('SHIFT_from car driver'!AA10:AA54,MATCH(1,(A9='SHIFT_from car driver'!A10:A54)*(A31='SHIFT_from car driver'!B10:B54),0))</f>
        <v>5.0364963503649648E-2</v>
      </c>
      <c r="K31" s="64"/>
      <c r="AO31" s="89">
        <v>2041</v>
      </c>
      <c r="AP31" s="170">
        <f t="shared" si="181"/>
        <v>-2.0160000000000001E-2</v>
      </c>
      <c r="AQ31" s="170">
        <f t="shared" si="182"/>
        <v>-4.7500000000000025E-3</v>
      </c>
      <c r="AR31" s="170">
        <f t="shared" si="183"/>
        <v>-1.4711538461538458E-2</v>
      </c>
      <c r="AS31" s="170">
        <f t="shared" si="184"/>
        <v>-3.8571428571428576E-2</v>
      </c>
      <c r="AU31" s="170">
        <f t="shared" si="185"/>
        <v>-3.5255474452554739E-2</v>
      </c>
      <c r="AV31" s="170">
        <f t="shared" si="186"/>
        <v>-7.3065693430656956E-2</v>
      </c>
      <c r="AW31" s="170">
        <f t="shared" si="187"/>
        <v>-0.17167883211678836</v>
      </c>
      <c r="AY31" s="170">
        <f t="shared" si="188"/>
        <v>-8.4839999999999971E-2</v>
      </c>
      <c r="AZ31" s="278">
        <f t="shared" si="189"/>
        <v>5.9702222222222188E-3</v>
      </c>
      <c r="BA31" s="284">
        <f t="shared" si="190"/>
        <v>-3.310589593043476E-2</v>
      </c>
      <c r="BB31" s="276">
        <f t="shared" si="191"/>
        <v>-2.6325008869565202E-2</v>
      </c>
      <c r="BC31" s="277">
        <f t="shared" si="192"/>
        <v>-2.2464715095652156E-2</v>
      </c>
      <c r="BD31" s="278">
        <f t="shared" si="193"/>
        <v>5.9702222222222188E-3</v>
      </c>
      <c r="BE31" s="284">
        <f t="shared" si="194"/>
        <v>-3.3105895930434802E-2</v>
      </c>
      <c r="BF31" s="276">
        <f t="shared" si="195"/>
        <v>-2.6325008869565202E-2</v>
      </c>
      <c r="BG31" s="277">
        <f t="shared" si="196"/>
        <v>-2.2464715095652187E-2</v>
      </c>
      <c r="BH31" s="278">
        <f t="shared" si="197"/>
        <v>1.151399999999999E-2</v>
      </c>
      <c r="BI31" s="284">
        <f t="shared" si="198"/>
        <v>-6.621179186086959E-2</v>
      </c>
      <c r="BJ31" s="276">
        <f t="shared" si="199"/>
        <v>-5.2650017739130493E-2</v>
      </c>
      <c r="BK31" s="277">
        <f t="shared" si="200"/>
        <v>-4.4929430191304374E-2</v>
      </c>
      <c r="BL31" s="278">
        <f t="shared" si="201"/>
        <v>1.151399999999999E-2</v>
      </c>
      <c r="BM31" s="284">
        <f t="shared" si="202"/>
        <v>-6.6211791860869548E-2</v>
      </c>
      <c r="BN31" s="276">
        <f t="shared" si="203"/>
        <v>-5.2650017739130389E-2</v>
      </c>
      <c r="BO31" s="277">
        <f t="shared" si="204"/>
        <v>-4.492943019130434E-2</v>
      </c>
      <c r="BP31" s="278">
        <f t="shared" si="205"/>
        <v>1.151399999999999E-2</v>
      </c>
      <c r="BQ31" s="284">
        <f t="shared" si="206"/>
        <v>-6.6211791860869604E-2</v>
      </c>
      <c r="BR31" s="276">
        <f t="shared" si="207"/>
        <v>-5.2650017739130486E-2</v>
      </c>
      <c r="BS31" s="277">
        <f t="shared" si="208"/>
        <v>-4.4929430191304395E-2</v>
      </c>
      <c r="BT31" s="278">
        <f t="shared" si="209"/>
        <v>1.151399999999999E-2</v>
      </c>
      <c r="BU31" s="284">
        <f t="shared" si="210"/>
        <v>-6.6211791860869548E-2</v>
      </c>
      <c r="BV31" s="276">
        <f t="shared" si="211"/>
        <v>-5.2650017739130403E-2</v>
      </c>
      <c r="BW31" s="278">
        <f t="shared" si="212"/>
        <v>-4.4929430191304319E-2</v>
      </c>
      <c r="BX31" s="391">
        <f t="shared" si="66"/>
        <v>-3.8357555555555554E-2</v>
      </c>
      <c r="BY31" s="392">
        <f t="shared" si="67"/>
        <v>-0.17971772076521747</v>
      </c>
      <c r="BZ31" s="278"/>
      <c r="CB31" s="279">
        <f t="shared" si="213"/>
        <v>-0.44303296703296707</v>
      </c>
      <c r="CC31" s="64">
        <f t="shared" si="214"/>
        <v>-0.45952745990639704</v>
      </c>
      <c r="CD31" s="64">
        <f t="shared" si="215"/>
        <v>-0.47602195277982701</v>
      </c>
      <c r="CE31" s="64">
        <f t="shared" si="216"/>
        <v>-0.50943738297113139</v>
      </c>
      <c r="CF31" s="64">
        <f t="shared" si="217"/>
        <v>-0.54285281316243572</v>
      </c>
      <c r="CG31" s="64">
        <f t="shared" si="218"/>
        <v>-0.57626824335374005</v>
      </c>
      <c r="CH31" s="64">
        <f t="shared" si="219"/>
        <v>-0.60968367354504438</v>
      </c>
      <c r="CI31">
        <v>2041</v>
      </c>
      <c r="CJ31" s="240"/>
      <c r="CL31">
        <v>2041</v>
      </c>
      <c r="CM31" s="3">
        <f t="shared" si="68"/>
        <v>0.95</v>
      </c>
      <c r="CN31" s="64">
        <f t="shared" si="23"/>
        <v>0.92984</v>
      </c>
      <c r="CO31" s="64">
        <f t="shared" si="24"/>
        <v>0.92508999999999997</v>
      </c>
      <c r="CP31" s="64">
        <f t="shared" si="25"/>
        <v>0.91037846153846147</v>
      </c>
      <c r="CQ31" s="64">
        <f t="shared" si="26"/>
        <v>0.87180703296703288</v>
      </c>
      <c r="CR31" s="64">
        <f t="shared" si="27"/>
        <v>0.83655155851447816</v>
      </c>
      <c r="CS31" s="64">
        <f t="shared" si="28"/>
        <v>0.76348586508382121</v>
      </c>
      <c r="CT31" s="64">
        <f t="shared" si="29"/>
        <v>0.59180703296703285</v>
      </c>
      <c r="CU31" s="64">
        <f t="shared" si="30"/>
        <v>0.50696703296703283</v>
      </c>
      <c r="CV31" s="64">
        <f t="shared" si="31"/>
        <v>0.51293725518925504</v>
      </c>
      <c r="CW31" s="65">
        <f t="shared" si="69"/>
        <v>0.49047254009360286</v>
      </c>
      <c r="CX31" s="64">
        <f t="shared" si="70"/>
        <v>0.51890747741147725</v>
      </c>
      <c r="CY31" s="65">
        <f t="shared" si="71"/>
        <v>0.47397804722017289</v>
      </c>
      <c r="CZ31" s="64">
        <f t="shared" si="72"/>
        <v>0.53042147741147727</v>
      </c>
      <c r="DA31" s="65">
        <f t="shared" si="73"/>
        <v>0.44056261702886856</v>
      </c>
      <c r="DB31" s="64">
        <f t="shared" si="74"/>
        <v>0.5419354774114773</v>
      </c>
      <c r="DC31" s="65">
        <f t="shared" si="75"/>
        <v>0.40714718683756423</v>
      </c>
      <c r="DD31" s="64">
        <f t="shared" si="76"/>
        <v>0.55344947741147732</v>
      </c>
      <c r="DE31" s="65">
        <f t="shared" si="77"/>
        <v>0.37373175664625985</v>
      </c>
      <c r="DF31" s="64">
        <f t="shared" si="78"/>
        <v>0.56496347741147734</v>
      </c>
      <c r="DG31" s="65">
        <f t="shared" si="79"/>
        <v>0.34031632645495558</v>
      </c>
      <c r="DL31">
        <v>2041</v>
      </c>
      <c r="DM31" s="64">
        <f t="shared" si="80"/>
        <v>0.34031632645495558</v>
      </c>
      <c r="DN31" s="64">
        <f t="shared" si="81"/>
        <v>0.37373175664625985</v>
      </c>
      <c r="DO31" s="64">
        <f t="shared" si="82"/>
        <v>0.40714718683756423</v>
      </c>
      <c r="DP31" s="64">
        <f t="shared" si="83"/>
        <v>0.44056261702886856</v>
      </c>
      <c r="DQ31" s="64">
        <f t="shared" si="84"/>
        <v>0.47397804722017289</v>
      </c>
      <c r="DR31" s="64">
        <f t="shared" si="85"/>
        <v>0.49047254009360286</v>
      </c>
      <c r="DS31" s="64">
        <f t="shared" si="32"/>
        <v>0.50696703296703283</v>
      </c>
      <c r="DT31" s="64">
        <f t="shared" si="33"/>
        <v>0.59180703296703285</v>
      </c>
      <c r="DU31" s="64">
        <f t="shared" si="34"/>
        <v>0.76348586508382121</v>
      </c>
      <c r="DV31" s="64">
        <f t="shared" si="35"/>
        <v>0.83655155851447816</v>
      </c>
      <c r="DW31" s="64">
        <f t="shared" si="36"/>
        <v>0.87180703296703288</v>
      </c>
      <c r="DX31" s="64">
        <f t="shared" si="37"/>
        <v>0.91037846153846147</v>
      </c>
      <c r="DY31" s="64">
        <f t="shared" si="38"/>
        <v>0.92508999999999997</v>
      </c>
      <c r="DZ31" s="64">
        <f t="shared" si="39"/>
        <v>0.92984</v>
      </c>
      <c r="EA31" s="3">
        <f t="shared" si="86"/>
        <v>0.95</v>
      </c>
      <c r="EB31">
        <v>2041</v>
      </c>
      <c r="EC31" s="269">
        <f t="shared" si="87"/>
        <v>0.34031632645495569</v>
      </c>
      <c r="ED31" s="269">
        <f t="shared" si="88"/>
        <v>0.05</v>
      </c>
      <c r="EE31" s="64">
        <f t="shared" si="89"/>
        <v>3.3415430191304274E-2</v>
      </c>
      <c r="EF31" s="64">
        <f t="shared" si="90"/>
        <v>3.3415430191304385E-2</v>
      </c>
      <c r="EG31" s="64">
        <f t="shared" si="91"/>
        <v>3.3415430191304329E-2</v>
      </c>
      <c r="EH31" s="64">
        <f t="shared" si="92"/>
        <v>3.3415430191304329E-2</v>
      </c>
      <c r="EI31" s="64">
        <f t="shared" si="93"/>
        <v>1.6494492873429967E-2</v>
      </c>
      <c r="EJ31" s="64">
        <f t="shared" si="94"/>
        <v>1.6494492873429967E-2</v>
      </c>
      <c r="EK31" s="64">
        <f t="shared" si="95"/>
        <v>8.4840000000000027E-2</v>
      </c>
      <c r="EL31" s="64">
        <f t="shared" si="96"/>
        <v>0.17167883211678836</v>
      </c>
      <c r="EM31" s="64">
        <f t="shared" si="97"/>
        <v>7.3065693430656942E-2</v>
      </c>
      <c r="EN31" s="64">
        <f t="shared" si="98"/>
        <v>3.5255474452554725E-2</v>
      </c>
      <c r="EO31" s="64">
        <f t="shared" si="99"/>
        <v>3.857142857142859E-2</v>
      </c>
      <c r="EP31" s="64">
        <f t="shared" si="100"/>
        <v>1.4711538461538498E-2</v>
      </c>
      <c r="EQ31" s="64">
        <f t="shared" si="101"/>
        <v>4.750000000000032E-3</v>
      </c>
      <c r="ER31" s="64">
        <f t="shared" si="102"/>
        <v>2.0159999999999956E-2</v>
      </c>
      <c r="EX31" s="89">
        <v>2041</v>
      </c>
      <c r="EY31" s="278">
        <f t="shared" si="103"/>
        <v>1.02</v>
      </c>
      <c r="EZ31" s="278"/>
      <c r="FA31" s="278">
        <f t="shared" si="104"/>
        <v>0.41031632645495553</v>
      </c>
      <c r="FB31" s="278">
        <f t="shared" si="41"/>
        <v>0.05</v>
      </c>
      <c r="FC31" s="64">
        <f t="shared" si="42"/>
        <v>0.2246471509565218</v>
      </c>
      <c r="FD31" s="64">
        <f t="shared" si="105"/>
        <v>2.6843555555555565E-2</v>
      </c>
      <c r="FE31" s="64">
        <f t="shared" si="106"/>
        <v>0.17167883211678836</v>
      </c>
      <c r="FF31" s="64">
        <f t="shared" si="107"/>
        <v>7.3065693430656942E-2</v>
      </c>
      <c r="FG31" s="64">
        <f t="shared" si="108"/>
        <v>3.5255474452554725E-2</v>
      </c>
      <c r="FH31" s="64">
        <f t="shared" si="109"/>
        <v>3.857142857142859E-2</v>
      </c>
      <c r="FI31" s="64">
        <f t="shared" si="110"/>
        <v>1.4711538461538498E-2</v>
      </c>
      <c r="FJ31" s="64">
        <f t="shared" si="111"/>
        <v>4.750000000000032E-3</v>
      </c>
      <c r="FK31" s="280">
        <f t="shared" si="112"/>
        <v>2.0159999999999956E-2</v>
      </c>
      <c r="FL31" s="64"/>
      <c r="FM31" s="89">
        <v>2041</v>
      </c>
      <c r="FN31" s="278">
        <f t="shared" si="113"/>
        <v>1.02</v>
      </c>
      <c r="FP31" s="278">
        <f t="shared" si="114"/>
        <v>0.44373175664625986</v>
      </c>
      <c r="FQ31" s="278">
        <f t="shared" si="115"/>
        <v>0.05</v>
      </c>
      <c r="FR31" s="64">
        <f t="shared" si="116"/>
        <v>0.17971772076521747</v>
      </c>
      <c r="FS31" s="64">
        <f t="shared" si="117"/>
        <v>3.8357555555555554E-2</v>
      </c>
      <c r="FT31" s="64">
        <f t="shared" si="118"/>
        <v>0.17167883211678836</v>
      </c>
      <c r="FU31" s="64">
        <f t="shared" si="119"/>
        <v>7.3065693430656942E-2</v>
      </c>
      <c r="FV31" s="64">
        <f t="shared" si="120"/>
        <v>3.5255474452554725E-2</v>
      </c>
      <c r="FW31" s="64">
        <f t="shared" si="121"/>
        <v>3.857142857142859E-2</v>
      </c>
      <c r="FX31" s="64">
        <f t="shared" si="122"/>
        <v>1.4711538461538498E-2</v>
      </c>
      <c r="FY31" s="64">
        <f t="shared" si="123"/>
        <v>4.750000000000032E-3</v>
      </c>
      <c r="FZ31" s="280">
        <f t="shared" si="124"/>
        <v>2.0159999999999956E-2</v>
      </c>
      <c r="GA31" s="64"/>
      <c r="GB31" s="89">
        <v>2041</v>
      </c>
      <c r="GC31" s="278">
        <f t="shared" si="125"/>
        <v>1.02</v>
      </c>
      <c r="GE31" s="278">
        <f t="shared" si="126"/>
        <v>0.4771471868375643</v>
      </c>
      <c r="GF31" s="278">
        <f t="shared" si="127"/>
        <v>0.05</v>
      </c>
      <c r="GG31" s="64">
        <f t="shared" si="128"/>
        <v>0.13478829057391306</v>
      </c>
      <c r="GH31" s="64">
        <f t="shared" si="129"/>
        <v>4.9871555555555544E-2</v>
      </c>
      <c r="GI31" s="64">
        <f t="shared" si="130"/>
        <v>0.17167883211678836</v>
      </c>
      <c r="GJ31" s="64">
        <f t="shared" si="131"/>
        <v>7.3065693430656942E-2</v>
      </c>
      <c r="GK31" s="64">
        <f t="shared" si="132"/>
        <v>3.5255474452554725E-2</v>
      </c>
      <c r="GL31" s="64">
        <f t="shared" si="133"/>
        <v>3.857142857142859E-2</v>
      </c>
      <c r="GM31" s="64">
        <f t="shared" si="134"/>
        <v>1.4711538461538498E-2</v>
      </c>
      <c r="GN31" s="64">
        <f t="shared" si="135"/>
        <v>4.750000000000032E-3</v>
      </c>
      <c r="GO31" s="280">
        <f t="shared" si="136"/>
        <v>2.0159999999999956E-2</v>
      </c>
      <c r="GP31" s="64"/>
      <c r="GQ31" s="89">
        <v>2041</v>
      </c>
      <c r="GR31" s="278">
        <f t="shared" si="137"/>
        <v>1.02</v>
      </c>
      <c r="GT31" s="278">
        <f t="shared" si="138"/>
        <v>0.51056261702886863</v>
      </c>
      <c r="GU31" s="278">
        <f t="shared" si="139"/>
        <v>0.05</v>
      </c>
      <c r="GV31" s="64">
        <f t="shared" si="140"/>
        <v>8.9858860382608707E-2</v>
      </c>
      <c r="GW31" s="64">
        <f t="shared" si="141"/>
        <v>6.1385555555555534E-2</v>
      </c>
      <c r="GX31" s="64">
        <f t="shared" si="43"/>
        <v>0.17167883211678836</v>
      </c>
      <c r="GY31" s="64">
        <f t="shared" si="44"/>
        <v>7.3065693430656942E-2</v>
      </c>
      <c r="GZ31" s="64">
        <f t="shared" si="45"/>
        <v>3.5255474452554725E-2</v>
      </c>
      <c r="HA31" s="64">
        <f t="shared" si="46"/>
        <v>3.857142857142859E-2</v>
      </c>
      <c r="HB31" s="64">
        <f t="shared" si="47"/>
        <v>1.4711538461538498E-2</v>
      </c>
      <c r="HC31" s="64">
        <f t="shared" si="48"/>
        <v>4.750000000000032E-3</v>
      </c>
      <c r="HD31" s="280">
        <f t="shared" si="49"/>
        <v>2.0159999999999956E-2</v>
      </c>
      <c r="HE31" s="64"/>
      <c r="HF31" s="89">
        <v>2041</v>
      </c>
      <c r="HG31" s="278">
        <f t="shared" si="142"/>
        <v>1.02</v>
      </c>
      <c r="HI31" s="278">
        <f t="shared" si="143"/>
        <v>0.54397804722017307</v>
      </c>
      <c r="HJ31" s="278">
        <f t="shared" si="144"/>
        <v>0.05</v>
      </c>
      <c r="HK31" s="64">
        <f t="shared" si="145"/>
        <v>4.492943019130434E-2</v>
      </c>
      <c r="HL31" s="64">
        <f t="shared" si="146"/>
        <v>7.2899555555555523E-2</v>
      </c>
      <c r="HM31" s="64">
        <f t="shared" si="147"/>
        <v>0.17167883211678836</v>
      </c>
      <c r="HN31" s="64">
        <f t="shared" si="148"/>
        <v>7.3065693430656942E-2</v>
      </c>
      <c r="HO31" s="64">
        <f t="shared" si="149"/>
        <v>3.5255474452554725E-2</v>
      </c>
      <c r="HP31" s="64">
        <f t="shared" si="150"/>
        <v>3.857142857142859E-2</v>
      </c>
      <c r="HQ31" s="64">
        <f t="shared" si="151"/>
        <v>1.4711538461538498E-2</v>
      </c>
      <c r="HR31" s="64">
        <f t="shared" si="152"/>
        <v>4.750000000000032E-3</v>
      </c>
      <c r="HS31" s="280">
        <f t="shared" si="153"/>
        <v>2.0159999999999956E-2</v>
      </c>
      <c r="HT31" s="64"/>
      <c r="HU31" s="89">
        <v>2041</v>
      </c>
      <c r="HV31" s="278">
        <f t="shared" si="154"/>
        <v>1.02</v>
      </c>
      <c r="HX31" s="278">
        <f t="shared" si="155"/>
        <v>0.56047254009360303</v>
      </c>
      <c r="HY31" s="278">
        <f t="shared" si="156"/>
        <v>0.05</v>
      </c>
      <c r="HZ31" s="64">
        <f t="shared" si="157"/>
        <v>2.2464715095652156E-2</v>
      </c>
      <c r="IA31" s="64">
        <f t="shared" si="158"/>
        <v>7.8869777777777747E-2</v>
      </c>
      <c r="IB31" s="64">
        <f t="shared" si="159"/>
        <v>0.17167883211678836</v>
      </c>
      <c r="IC31" s="64">
        <f t="shared" si="160"/>
        <v>7.3065693430656942E-2</v>
      </c>
      <c r="ID31" s="64">
        <f t="shared" si="161"/>
        <v>3.5255474452554725E-2</v>
      </c>
      <c r="IE31" s="64">
        <f t="shared" si="162"/>
        <v>3.857142857142859E-2</v>
      </c>
      <c r="IF31" s="64">
        <f t="shared" si="163"/>
        <v>1.4711538461538498E-2</v>
      </c>
      <c r="IG31" s="64">
        <f t="shared" si="164"/>
        <v>4.750000000000032E-3</v>
      </c>
      <c r="IH31" s="280">
        <f t="shared" si="165"/>
        <v>2.0159999999999956E-2</v>
      </c>
      <c r="II31" s="64"/>
      <c r="IJ31" s="89">
        <v>2041</v>
      </c>
      <c r="IK31" s="278">
        <f t="shared" si="166"/>
        <v>1.02</v>
      </c>
      <c r="IM31" s="278">
        <f t="shared" si="167"/>
        <v>0.57696703296703289</v>
      </c>
      <c r="IN31" s="278">
        <f t="shared" si="168"/>
        <v>0.05</v>
      </c>
      <c r="IO31" s="64">
        <v>0</v>
      </c>
      <c r="IP31" s="64">
        <f t="shared" si="169"/>
        <v>8.4839999999999971E-2</v>
      </c>
      <c r="IQ31" s="64">
        <f t="shared" si="50"/>
        <v>0.17167883211678836</v>
      </c>
      <c r="IR31" s="64">
        <f t="shared" si="51"/>
        <v>7.3065693430656942E-2</v>
      </c>
      <c r="IS31" s="64">
        <f t="shared" si="52"/>
        <v>3.5255474452554725E-2</v>
      </c>
      <c r="IT31" s="64">
        <f t="shared" si="53"/>
        <v>3.857142857142859E-2</v>
      </c>
      <c r="IU31" s="64">
        <f t="shared" si="54"/>
        <v>1.4711538461538498E-2</v>
      </c>
      <c r="IV31" s="64">
        <f t="shared" si="55"/>
        <v>4.750000000000032E-3</v>
      </c>
      <c r="IW31" s="280">
        <f t="shared" si="56"/>
        <v>2.0159999999999956E-2</v>
      </c>
      <c r="IX31" s="3">
        <f t="shared" si="170"/>
        <v>0.33412280701754327</v>
      </c>
      <c r="IY31">
        <f t="shared" si="57"/>
        <v>2041</v>
      </c>
      <c r="IZ31" s="3">
        <f t="shared" si="171"/>
        <v>16.834701868131869</v>
      </c>
      <c r="JA31" s="353">
        <f>HLOOKUP(JA$3,'Main calculations'!JG$8:JS$39,24,FALSE)</f>
        <v>16.534980462666141</v>
      </c>
      <c r="JB31" s="3">
        <f t="shared" si="172"/>
        <v>21.669999999999998</v>
      </c>
      <c r="JC31" s="353">
        <f t="shared" si="173"/>
        <v>22.810526315789474</v>
      </c>
      <c r="JD31" s="368">
        <f t="shared" si="174"/>
        <v>14.20190058479532</v>
      </c>
      <c r="JE31" s="369">
        <f t="shared" si="175"/>
        <v>14.949369036626653</v>
      </c>
      <c r="JF31" s="363">
        <f t="shared" si="176"/>
        <v>15.425547721271963</v>
      </c>
      <c r="JG31" s="362">
        <f t="shared" si="58"/>
        <v>16.237418653970487</v>
      </c>
      <c r="JH31" s="366">
        <f t="shared" si="59"/>
        <v>15.708231439532833</v>
      </c>
      <c r="JI31" s="367">
        <f t="shared" si="9"/>
        <v>16.534980462666141</v>
      </c>
      <c r="JJ31" s="363">
        <f t="shared" si="60"/>
        <v>15.990915157793705</v>
      </c>
      <c r="JK31" s="362">
        <f t="shared" si="61"/>
        <v>16.832542271361795</v>
      </c>
      <c r="JL31" s="366">
        <f t="shared" si="177"/>
        <v>16.273598876054571</v>
      </c>
      <c r="JM31" s="367">
        <f t="shared" si="62"/>
        <v>17.130104080057443</v>
      </c>
      <c r="JN31" s="363">
        <f t="shared" si="178"/>
        <v>16.556282594315441</v>
      </c>
      <c r="JO31" s="362">
        <f t="shared" si="63"/>
        <v>17.427665888753097</v>
      </c>
      <c r="JP31" s="366">
        <f t="shared" si="179"/>
        <v>16.695492231223653</v>
      </c>
      <c r="JQ31" s="367">
        <f t="shared" si="64"/>
        <v>17.574202348656478</v>
      </c>
      <c r="JR31" s="363">
        <f t="shared" si="180"/>
        <v>16.834701868131869</v>
      </c>
      <c r="JS31" s="362">
        <f t="shared" si="65"/>
        <v>17.720738808559862</v>
      </c>
      <c r="JU31" t="s">
        <v>259</v>
      </c>
    </row>
    <row r="32" spans="1:281">
      <c r="A32" s="259">
        <f>'1 StrategyMix for CarbonTargets'!V31</f>
        <v>0.2</v>
      </c>
      <c r="B32" s="247"/>
      <c r="C32" s="247"/>
      <c r="D32" s="247"/>
      <c r="E32" s="293"/>
      <c r="F32" s="293"/>
      <c r="G32" s="294" t="s">
        <v>94</v>
      </c>
      <c r="H32" s="302" cm="1">
        <f t="array" ref="H32">INDEX('SHIFT_from car driver'!AJ10:AJ54,MATCH(1,(A9='SHIFT_from car driver'!A10:A54)*(A32='SHIFT_from car driver'!B10:B54),0))</f>
        <v>4.1479332849891234E-2</v>
      </c>
      <c r="I32" s="304" cm="1">
        <f t="array" ref="I32">INDEX('SHIFT_from car driver'!AF10:AF54,MATCH(1,(A9='SHIFT_from car driver'!A10:A54)*(A32='SHIFT_from car driver'!B10:B54),0))</f>
        <v>4.6833422032996286E-2</v>
      </c>
      <c r="J32" s="305" cm="1">
        <f t="array" ref="J32">INDEX('SHIFT_from car driver'!AB10:AB54,MATCH(1,(A9='SHIFT_from car driver'!A10:A54)*(A32='SHIFT_from car driver'!B10:B54),0))</f>
        <v>0.10437956204379562</v>
      </c>
      <c r="K32" s="64"/>
      <c r="AO32" s="89">
        <v>2042</v>
      </c>
      <c r="AP32" s="170">
        <f t="shared" si="181"/>
        <v>-2.112E-2</v>
      </c>
      <c r="AQ32" s="170">
        <f t="shared" si="182"/>
        <v>-5.0000000000000027E-3</v>
      </c>
      <c r="AR32" s="170">
        <f t="shared" si="183"/>
        <v>-1.5576923076923073E-2</v>
      </c>
      <c r="AS32" s="170">
        <f t="shared" si="184"/>
        <v>-4.1785714285714287E-2</v>
      </c>
      <c r="AU32" s="170">
        <f t="shared" si="185"/>
        <v>-3.6934306569343059E-2</v>
      </c>
      <c r="AV32" s="170">
        <f t="shared" si="186"/>
        <v>-7.6545012165450149E-2</v>
      </c>
      <c r="AW32" s="170">
        <f t="shared" si="187"/>
        <v>-0.1798540145985402</v>
      </c>
      <c r="AY32" s="170">
        <f t="shared" si="188"/>
        <v>-8.4839999999999971E-2</v>
      </c>
      <c r="AZ32" s="278">
        <f t="shared" si="189"/>
        <v>6.2844444444444406E-3</v>
      </c>
      <c r="BA32" s="284">
        <f t="shared" si="190"/>
        <v>-3.3737990817391282E-2</v>
      </c>
      <c r="BB32" s="276">
        <f t="shared" si="191"/>
        <v>-2.7710535652173896E-2</v>
      </c>
      <c r="BC32" s="277">
        <f t="shared" si="192"/>
        <v>-2.40985648695652E-2</v>
      </c>
      <c r="BD32" s="278">
        <f t="shared" si="193"/>
        <v>6.2844444444444406E-3</v>
      </c>
      <c r="BE32" s="284">
        <f t="shared" si="194"/>
        <v>-3.3737990817391324E-2</v>
      </c>
      <c r="BF32" s="276">
        <f t="shared" si="195"/>
        <v>-2.7710535652173896E-2</v>
      </c>
      <c r="BG32" s="277">
        <f t="shared" si="196"/>
        <v>-2.4098564869565232E-2</v>
      </c>
      <c r="BH32" s="278">
        <f t="shared" si="197"/>
        <v>1.2119999999999988E-2</v>
      </c>
      <c r="BI32" s="284">
        <f t="shared" si="198"/>
        <v>-6.7475981634782634E-2</v>
      </c>
      <c r="BJ32" s="276">
        <f t="shared" si="199"/>
        <v>-5.5421071304347889E-2</v>
      </c>
      <c r="BK32" s="277">
        <f t="shared" si="200"/>
        <v>-4.8197129739130463E-2</v>
      </c>
      <c r="BL32" s="278">
        <f t="shared" si="201"/>
        <v>1.2119999999999988E-2</v>
      </c>
      <c r="BM32" s="284">
        <f t="shared" si="202"/>
        <v>-6.7475981634782592E-2</v>
      </c>
      <c r="BN32" s="276">
        <f t="shared" si="203"/>
        <v>-5.5421071304347778E-2</v>
      </c>
      <c r="BO32" s="277">
        <f t="shared" si="204"/>
        <v>-4.8197129739130422E-2</v>
      </c>
      <c r="BP32" s="278">
        <f t="shared" si="205"/>
        <v>1.2119999999999988E-2</v>
      </c>
      <c r="BQ32" s="284">
        <f t="shared" si="206"/>
        <v>-6.7475981634782647E-2</v>
      </c>
      <c r="BR32" s="276">
        <f t="shared" si="207"/>
        <v>-5.5421071304347883E-2</v>
      </c>
      <c r="BS32" s="277">
        <f t="shared" si="208"/>
        <v>-4.8197129739130484E-2</v>
      </c>
      <c r="BT32" s="278">
        <f t="shared" si="209"/>
        <v>1.2119999999999988E-2</v>
      </c>
      <c r="BU32" s="284">
        <f t="shared" si="210"/>
        <v>-6.7475981634782592E-2</v>
      </c>
      <c r="BV32" s="276">
        <f t="shared" si="211"/>
        <v>-5.5421071304347792E-2</v>
      </c>
      <c r="BW32" s="278">
        <f t="shared" si="212"/>
        <v>-4.8197129739130401E-2</v>
      </c>
      <c r="BX32" s="391">
        <f t="shared" si="66"/>
        <v>-3.5911111111111116E-2</v>
      </c>
      <c r="BY32" s="392">
        <f t="shared" si="67"/>
        <v>-0.1927885189565218</v>
      </c>
      <c r="BZ32" s="278"/>
      <c r="CB32" s="279">
        <f t="shared" si="213"/>
        <v>-0.4616559706959707</v>
      </c>
      <c r="CC32" s="64">
        <f t="shared" si="214"/>
        <v>-0.47947009112109146</v>
      </c>
      <c r="CD32" s="64">
        <f t="shared" si="215"/>
        <v>-0.49728421154621227</v>
      </c>
      <c r="CE32" s="64">
        <f t="shared" si="216"/>
        <v>-0.53336134128534274</v>
      </c>
      <c r="CF32" s="64">
        <f t="shared" si="217"/>
        <v>-0.56943847102447309</v>
      </c>
      <c r="CG32" s="64">
        <f t="shared" si="218"/>
        <v>-0.60551560076360356</v>
      </c>
      <c r="CH32" s="64">
        <f t="shared" si="219"/>
        <v>-0.64159273050273391</v>
      </c>
      <c r="CI32">
        <v>2042</v>
      </c>
      <c r="CJ32" s="240"/>
      <c r="CL32">
        <v>2042</v>
      </c>
      <c r="CM32" s="3">
        <f t="shared" si="68"/>
        <v>0.95</v>
      </c>
      <c r="CN32" s="64">
        <f t="shared" si="23"/>
        <v>0.92887999999999993</v>
      </c>
      <c r="CO32" s="64">
        <f t="shared" si="24"/>
        <v>0.92387999999999992</v>
      </c>
      <c r="CP32" s="64">
        <f t="shared" si="25"/>
        <v>0.90830307692307688</v>
      </c>
      <c r="CQ32" s="64">
        <f t="shared" si="26"/>
        <v>0.86651736263736256</v>
      </c>
      <c r="CR32" s="64">
        <f t="shared" si="27"/>
        <v>0.82958305606801952</v>
      </c>
      <c r="CS32" s="64">
        <f t="shared" si="28"/>
        <v>0.75303804390256934</v>
      </c>
      <c r="CT32" s="64">
        <f t="shared" si="29"/>
        <v>0.57318402930402912</v>
      </c>
      <c r="CU32" s="64">
        <f t="shared" si="30"/>
        <v>0.48834402930402915</v>
      </c>
      <c r="CV32" s="64">
        <f t="shared" si="31"/>
        <v>0.49462847374847357</v>
      </c>
      <c r="CW32" s="65">
        <f t="shared" si="69"/>
        <v>0.47052990887890839</v>
      </c>
      <c r="CX32" s="64">
        <f t="shared" si="70"/>
        <v>0.50091291819291806</v>
      </c>
      <c r="CY32" s="65">
        <f t="shared" si="71"/>
        <v>0.45271578845378763</v>
      </c>
      <c r="CZ32" s="64">
        <f t="shared" si="72"/>
        <v>0.51303291819291807</v>
      </c>
      <c r="DA32" s="65">
        <f t="shared" si="73"/>
        <v>0.41663865871465716</v>
      </c>
      <c r="DB32" s="64">
        <f t="shared" si="74"/>
        <v>0.52515291819291809</v>
      </c>
      <c r="DC32" s="65">
        <f t="shared" si="75"/>
        <v>0.38056152897552675</v>
      </c>
      <c r="DD32" s="64">
        <f t="shared" si="76"/>
        <v>0.53727291819291811</v>
      </c>
      <c r="DE32" s="65">
        <f t="shared" si="77"/>
        <v>0.34448439923639629</v>
      </c>
      <c r="DF32" s="64">
        <f t="shared" si="78"/>
        <v>0.54939291819291813</v>
      </c>
      <c r="DG32" s="65">
        <f t="shared" si="79"/>
        <v>0.30840726949726593</v>
      </c>
      <c r="DL32">
        <v>2042</v>
      </c>
      <c r="DM32" s="64">
        <f t="shared" si="80"/>
        <v>0.30840726949726593</v>
      </c>
      <c r="DN32" s="64">
        <f t="shared" si="81"/>
        <v>0.34448439923639629</v>
      </c>
      <c r="DO32" s="64">
        <f t="shared" si="82"/>
        <v>0.38056152897552675</v>
      </c>
      <c r="DP32" s="64">
        <f t="shared" si="83"/>
        <v>0.41663865871465716</v>
      </c>
      <c r="DQ32" s="64">
        <f t="shared" si="84"/>
        <v>0.45271578845378763</v>
      </c>
      <c r="DR32" s="64">
        <f t="shared" si="85"/>
        <v>0.47052990887890839</v>
      </c>
      <c r="DS32" s="64">
        <f t="shared" si="32"/>
        <v>0.48834402930402915</v>
      </c>
      <c r="DT32" s="64">
        <f t="shared" si="33"/>
        <v>0.57318402930402912</v>
      </c>
      <c r="DU32" s="64">
        <f t="shared" si="34"/>
        <v>0.75303804390256934</v>
      </c>
      <c r="DV32" s="64">
        <f t="shared" si="35"/>
        <v>0.82958305606801952</v>
      </c>
      <c r="DW32" s="64">
        <f t="shared" si="36"/>
        <v>0.86651736263736256</v>
      </c>
      <c r="DX32" s="64">
        <f t="shared" si="37"/>
        <v>0.90830307692307688</v>
      </c>
      <c r="DY32" s="64">
        <f t="shared" si="38"/>
        <v>0.92387999999999992</v>
      </c>
      <c r="DZ32" s="64">
        <f t="shared" si="39"/>
        <v>0.92887999999999993</v>
      </c>
      <c r="EA32" s="3">
        <f t="shared" si="86"/>
        <v>0.95</v>
      </c>
      <c r="EB32">
        <v>2042</v>
      </c>
      <c r="EC32" s="269">
        <f t="shared" si="87"/>
        <v>0.30840726949726593</v>
      </c>
      <c r="ED32" s="269">
        <f t="shared" si="88"/>
        <v>0.05</v>
      </c>
      <c r="EE32" s="64">
        <f t="shared" si="89"/>
        <v>3.6077129739130354E-2</v>
      </c>
      <c r="EF32" s="64">
        <f t="shared" si="90"/>
        <v>3.6077129739130465E-2</v>
      </c>
      <c r="EG32" s="64">
        <f t="shared" si="91"/>
        <v>3.6077129739130409E-2</v>
      </c>
      <c r="EH32" s="64">
        <f t="shared" si="92"/>
        <v>3.6077129739130465E-2</v>
      </c>
      <c r="EI32" s="64">
        <f t="shared" si="93"/>
        <v>1.7814120425120761E-2</v>
      </c>
      <c r="EJ32" s="64">
        <f t="shared" si="94"/>
        <v>1.7814120425120761E-2</v>
      </c>
      <c r="EK32" s="64">
        <f t="shared" si="95"/>
        <v>8.4839999999999971E-2</v>
      </c>
      <c r="EL32" s="64">
        <f t="shared" si="96"/>
        <v>0.17985401459854022</v>
      </c>
      <c r="EM32" s="64">
        <f t="shared" si="97"/>
        <v>7.6545012165450177E-2</v>
      </c>
      <c r="EN32" s="64">
        <f t="shared" si="98"/>
        <v>3.6934306569343045E-2</v>
      </c>
      <c r="EO32" s="64">
        <f t="shared" si="99"/>
        <v>4.1785714285714315E-2</v>
      </c>
      <c r="EP32" s="64">
        <f t="shared" si="100"/>
        <v>1.5576923076923044E-2</v>
      </c>
      <c r="EQ32" s="64">
        <f t="shared" si="101"/>
        <v>5.0000000000000044E-3</v>
      </c>
      <c r="ER32" s="64">
        <f t="shared" si="102"/>
        <v>2.1120000000000028E-2</v>
      </c>
      <c r="EX32" s="89">
        <v>2042</v>
      </c>
      <c r="EY32" s="278">
        <f t="shared" si="103"/>
        <v>1.0233333333333332</v>
      </c>
      <c r="EZ32" s="278"/>
      <c r="FA32" s="278">
        <f t="shared" si="104"/>
        <v>0.38174060283059896</v>
      </c>
      <c r="FB32" s="278">
        <f t="shared" si="41"/>
        <v>0.05</v>
      </c>
      <c r="FC32" s="64">
        <f t="shared" si="42"/>
        <v>0.2409856486956522</v>
      </c>
      <c r="FD32" s="64">
        <f t="shared" si="105"/>
        <v>2.3791111111111127E-2</v>
      </c>
      <c r="FE32" s="64">
        <f t="shared" si="106"/>
        <v>0.17985401459854022</v>
      </c>
      <c r="FF32" s="64">
        <f t="shared" si="107"/>
        <v>7.6545012165450177E-2</v>
      </c>
      <c r="FG32" s="64">
        <f t="shared" si="108"/>
        <v>3.6934306569343045E-2</v>
      </c>
      <c r="FH32" s="64">
        <f t="shared" si="109"/>
        <v>4.1785714285714315E-2</v>
      </c>
      <c r="FI32" s="64">
        <f t="shared" si="110"/>
        <v>1.5576923076923044E-2</v>
      </c>
      <c r="FJ32" s="64">
        <f t="shared" si="111"/>
        <v>5.0000000000000044E-3</v>
      </c>
      <c r="FK32" s="280">
        <f t="shared" si="112"/>
        <v>2.1120000000000028E-2</v>
      </c>
      <c r="FL32" s="64"/>
      <c r="FM32" s="89">
        <v>2042</v>
      </c>
      <c r="FN32" s="278">
        <f t="shared" si="113"/>
        <v>1.0233333333333332</v>
      </c>
      <c r="FP32" s="278">
        <f t="shared" si="114"/>
        <v>0.41781773256972943</v>
      </c>
      <c r="FQ32" s="278">
        <f t="shared" si="115"/>
        <v>0.05</v>
      </c>
      <c r="FR32" s="64">
        <f t="shared" si="116"/>
        <v>0.1927885189565218</v>
      </c>
      <c r="FS32" s="64">
        <f t="shared" si="117"/>
        <v>3.5911111111111116E-2</v>
      </c>
      <c r="FT32" s="64">
        <f t="shared" si="118"/>
        <v>0.17985401459854022</v>
      </c>
      <c r="FU32" s="64">
        <f t="shared" si="119"/>
        <v>7.6545012165450177E-2</v>
      </c>
      <c r="FV32" s="64">
        <f t="shared" si="120"/>
        <v>3.6934306569343045E-2</v>
      </c>
      <c r="FW32" s="64">
        <f t="shared" si="121"/>
        <v>4.1785714285714315E-2</v>
      </c>
      <c r="FX32" s="64">
        <f t="shared" si="122"/>
        <v>1.5576923076923044E-2</v>
      </c>
      <c r="FY32" s="64">
        <f t="shared" si="123"/>
        <v>5.0000000000000044E-3</v>
      </c>
      <c r="FZ32" s="280">
        <f t="shared" si="124"/>
        <v>2.1120000000000028E-2</v>
      </c>
      <c r="GA32" s="64"/>
      <c r="GB32" s="89">
        <v>2042</v>
      </c>
      <c r="GC32" s="278">
        <f t="shared" si="125"/>
        <v>1.0233333333333332</v>
      </c>
      <c r="GE32" s="278">
        <f t="shared" si="126"/>
        <v>0.45389486230885989</v>
      </c>
      <c r="GF32" s="278">
        <f t="shared" si="127"/>
        <v>0.05</v>
      </c>
      <c r="GG32" s="64">
        <f t="shared" si="128"/>
        <v>0.14459138921739131</v>
      </c>
      <c r="GH32" s="64">
        <f t="shared" si="129"/>
        <v>4.8031111111111108E-2</v>
      </c>
      <c r="GI32" s="64">
        <f t="shared" si="130"/>
        <v>0.17985401459854022</v>
      </c>
      <c r="GJ32" s="64">
        <f t="shared" si="131"/>
        <v>7.6545012165450177E-2</v>
      </c>
      <c r="GK32" s="64">
        <f t="shared" si="132"/>
        <v>3.6934306569343045E-2</v>
      </c>
      <c r="GL32" s="64">
        <f t="shared" si="133"/>
        <v>4.1785714285714315E-2</v>
      </c>
      <c r="GM32" s="64">
        <f t="shared" si="134"/>
        <v>1.5576923076923044E-2</v>
      </c>
      <c r="GN32" s="64">
        <f t="shared" si="135"/>
        <v>5.0000000000000044E-3</v>
      </c>
      <c r="GO32" s="280">
        <f t="shared" si="136"/>
        <v>2.1120000000000028E-2</v>
      </c>
      <c r="GP32" s="64"/>
      <c r="GQ32" s="89">
        <v>2042</v>
      </c>
      <c r="GR32" s="278">
        <f t="shared" si="137"/>
        <v>1.0233333333333332</v>
      </c>
      <c r="GT32" s="278">
        <f t="shared" si="138"/>
        <v>0.48997199204799036</v>
      </c>
      <c r="GU32" s="278">
        <f t="shared" si="139"/>
        <v>0.05</v>
      </c>
      <c r="GV32" s="64">
        <f t="shared" si="140"/>
        <v>9.6394259478260885E-2</v>
      </c>
      <c r="GW32" s="64">
        <f t="shared" si="141"/>
        <v>6.01511111111111E-2</v>
      </c>
      <c r="GX32" s="64">
        <f t="shared" si="43"/>
        <v>0.17985401459854022</v>
      </c>
      <c r="GY32" s="64">
        <f t="shared" si="44"/>
        <v>7.6545012165450177E-2</v>
      </c>
      <c r="GZ32" s="64">
        <f t="shared" si="45"/>
        <v>3.6934306569343045E-2</v>
      </c>
      <c r="HA32" s="64">
        <f t="shared" si="46"/>
        <v>4.1785714285714315E-2</v>
      </c>
      <c r="HB32" s="64">
        <f t="shared" si="47"/>
        <v>1.5576923076923044E-2</v>
      </c>
      <c r="HC32" s="64">
        <f t="shared" si="48"/>
        <v>5.0000000000000044E-3</v>
      </c>
      <c r="HD32" s="280">
        <f t="shared" si="49"/>
        <v>2.1120000000000028E-2</v>
      </c>
      <c r="HE32" s="64"/>
      <c r="HF32" s="89">
        <v>2042</v>
      </c>
      <c r="HG32" s="278">
        <f t="shared" si="142"/>
        <v>1.0233333333333332</v>
      </c>
      <c r="HI32" s="278">
        <f t="shared" si="143"/>
        <v>0.52604912178712082</v>
      </c>
      <c r="HJ32" s="278">
        <f t="shared" si="144"/>
        <v>0.05</v>
      </c>
      <c r="HK32" s="64">
        <f t="shared" si="145"/>
        <v>4.8197129739130429E-2</v>
      </c>
      <c r="HL32" s="64">
        <f t="shared" si="146"/>
        <v>7.2271111111111092E-2</v>
      </c>
      <c r="HM32" s="64">
        <f t="shared" si="147"/>
        <v>0.17985401459854022</v>
      </c>
      <c r="HN32" s="64">
        <f t="shared" si="148"/>
        <v>7.6545012165450177E-2</v>
      </c>
      <c r="HO32" s="64">
        <f t="shared" si="149"/>
        <v>3.6934306569343045E-2</v>
      </c>
      <c r="HP32" s="64">
        <f t="shared" si="150"/>
        <v>4.1785714285714315E-2</v>
      </c>
      <c r="HQ32" s="64">
        <f t="shared" si="151"/>
        <v>1.5576923076923044E-2</v>
      </c>
      <c r="HR32" s="64">
        <f t="shared" si="152"/>
        <v>5.0000000000000044E-3</v>
      </c>
      <c r="HS32" s="280">
        <f t="shared" si="153"/>
        <v>2.1120000000000028E-2</v>
      </c>
      <c r="HT32" s="64"/>
      <c r="HU32" s="89">
        <v>2042</v>
      </c>
      <c r="HV32" s="278">
        <f t="shared" si="154"/>
        <v>1.0233333333333332</v>
      </c>
      <c r="HX32" s="278">
        <f t="shared" si="155"/>
        <v>0.54386324221224158</v>
      </c>
      <c r="HY32" s="278">
        <f t="shared" si="156"/>
        <v>0.05</v>
      </c>
      <c r="HZ32" s="64">
        <f t="shared" si="157"/>
        <v>2.40985648695652E-2</v>
      </c>
      <c r="IA32" s="64">
        <f t="shared" si="158"/>
        <v>7.8555555555555531E-2</v>
      </c>
      <c r="IB32" s="64">
        <f t="shared" si="159"/>
        <v>0.17985401459854022</v>
      </c>
      <c r="IC32" s="64">
        <f t="shared" si="160"/>
        <v>7.6545012165450177E-2</v>
      </c>
      <c r="ID32" s="64">
        <f t="shared" si="161"/>
        <v>3.6934306569343045E-2</v>
      </c>
      <c r="IE32" s="64">
        <f t="shared" si="162"/>
        <v>4.1785714285714315E-2</v>
      </c>
      <c r="IF32" s="64">
        <f t="shared" si="163"/>
        <v>1.5576923076923044E-2</v>
      </c>
      <c r="IG32" s="64">
        <f t="shared" si="164"/>
        <v>5.0000000000000044E-3</v>
      </c>
      <c r="IH32" s="280">
        <f t="shared" si="165"/>
        <v>2.1120000000000028E-2</v>
      </c>
      <c r="II32" s="64"/>
      <c r="IJ32" s="89">
        <v>2042</v>
      </c>
      <c r="IK32" s="278">
        <f t="shared" si="166"/>
        <v>1.0233333333333332</v>
      </c>
      <c r="IM32" s="278">
        <f t="shared" si="167"/>
        <v>0.56167736263736234</v>
      </c>
      <c r="IN32" s="278">
        <f t="shared" si="168"/>
        <v>0.05</v>
      </c>
      <c r="IO32" s="64">
        <v>0</v>
      </c>
      <c r="IP32" s="64">
        <f t="shared" si="169"/>
        <v>8.4839999999999971E-2</v>
      </c>
      <c r="IQ32" s="64">
        <f t="shared" si="50"/>
        <v>0.17985401459854022</v>
      </c>
      <c r="IR32" s="64">
        <f t="shared" si="51"/>
        <v>7.6545012165450177E-2</v>
      </c>
      <c r="IS32" s="64">
        <f t="shared" si="52"/>
        <v>3.6934306569343045E-2</v>
      </c>
      <c r="IT32" s="64">
        <f t="shared" si="53"/>
        <v>4.1785714285714315E-2</v>
      </c>
      <c r="IU32" s="64">
        <f t="shared" si="54"/>
        <v>1.5576923076923044E-2</v>
      </c>
      <c r="IV32" s="64">
        <f t="shared" si="55"/>
        <v>5.0000000000000044E-3</v>
      </c>
      <c r="IW32" s="280">
        <f t="shared" si="56"/>
        <v>2.1120000000000028E-2</v>
      </c>
      <c r="IX32" s="3">
        <f t="shared" si="170"/>
        <v>0.30370175438596547</v>
      </c>
      <c r="IY32">
        <f t="shared" si="57"/>
        <v>2042</v>
      </c>
      <c r="IZ32" s="3">
        <f t="shared" si="171"/>
        <v>17.396379230769231</v>
      </c>
      <c r="JA32" s="353">
        <f>HLOOKUP(JA$3,'Main calculations'!JG$8:JS$39,25,FALSE)</f>
        <v>16.974788602213223</v>
      </c>
      <c r="JB32" s="3">
        <f t="shared" si="172"/>
        <v>22.693333333333332</v>
      </c>
      <c r="JC32" s="353">
        <f t="shared" si="173"/>
        <v>23.887719298245614</v>
      </c>
      <c r="JD32" s="368">
        <f t="shared" si="174"/>
        <v>14.505602339181285</v>
      </c>
      <c r="JE32" s="369">
        <f t="shared" si="175"/>
        <v>15.269055093875037</v>
      </c>
      <c r="JF32" s="363">
        <f t="shared" si="176"/>
        <v>15.807288324102561</v>
      </c>
      <c r="JG32" s="362">
        <f t="shared" si="58"/>
        <v>16.639250867476381</v>
      </c>
      <c r="JH32" s="366">
        <f t="shared" si="59"/>
        <v>16.126049172102562</v>
      </c>
      <c r="JI32" s="367">
        <f t="shared" si="9"/>
        <v>16.974788602213223</v>
      </c>
      <c r="JJ32" s="363">
        <f t="shared" si="60"/>
        <v>16.444810020102565</v>
      </c>
      <c r="JK32" s="362">
        <f t="shared" si="61"/>
        <v>17.31032633695007</v>
      </c>
      <c r="JL32" s="366">
        <f t="shared" si="177"/>
        <v>16.763570868102562</v>
      </c>
      <c r="JM32" s="367">
        <f t="shared" si="62"/>
        <v>17.645864071686908</v>
      </c>
      <c r="JN32" s="363">
        <f t="shared" si="178"/>
        <v>17.082331716102562</v>
      </c>
      <c r="JO32" s="362">
        <f t="shared" si="63"/>
        <v>17.981401806423751</v>
      </c>
      <c r="JP32" s="366">
        <f t="shared" si="179"/>
        <v>17.239355473435896</v>
      </c>
      <c r="JQ32" s="367">
        <f t="shared" si="64"/>
        <v>18.146689972037787</v>
      </c>
      <c r="JR32" s="363">
        <f t="shared" si="180"/>
        <v>17.396379230769231</v>
      </c>
      <c r="JS32" s="362">
        <f t="shared" si="65"/>
        <v>18.311978137651824</v>
      </c>
      <c r="JU32" t="s">
        <v>260</v>
      </c>
    </row>
    <row r="33" spans="1:281">
      <c r="A33" s="259">
        <f>'1 StrategyMix for CarbonTargets'!V33</f>
        <v>0.2</v>
      </c>
      <c r="B33" s="247"/>
      <c r="C33" s="247"/>
      <c r="D33" s="247"/>
      <c r="E33" s="293"/>
      <c r="F33" s="293"/>
      <c r="G33" s="294" t="s">
        <v>95</v>
      </c>
      <c r="H33" s="306" cm="1">
        <f t="array" ref="H33">INDEX('SHIFT_from car driver'!AK10:AK54,MATCH(1,(A9='SHIFT_from car driver'!A10:A54)*(A33='SHIFT_from car driver'!B10:B54),0))</f>
        <v>0.34807831762146491</v>
      </c>
      <c r="I33" s="307" cm="1">
        <f t="array" ref="I33">INDEX('SHIFT_from car driver'!AG10:AG54,MATCH(1,(A9='SHIFT_from car driver'!A10:A54)*(A33='SHIFT_from car driver'!B10:B54),0))</f>
        <v>0.32953698775944656</v>
      </c>
      <c r="J33" s="308" cm="1">
        <f t="array" ref="J33">INDEX('SHIFT_from car driver'!AC10:AC54,MATCH(1,(A9='SHIFT_from car driver'!A10:A54)*(A33='SHIFT_from car driver'!B10:B54),0))</f>
        <v>0.24525547445255474</v>
      </c>
      <c r="K33" s="64"/>
      <c r="AO33" s="89">
        <v>2043</v>
      </c>
      <c r="AP33" s="170">
        <f t="shared" si="181"/>
        <v>-2.2079999999999999E-2</v>
      </c>
      <c r="AQ33" s="170">
        <f t="shared" si="182"/>
        <v>-5.2500000000000029E-3</v>
      </c>
      <c r="AR33" s="170">
        <f t="shared" si="183"/>
        <v>-1.644230769230769E-2</v>
      </c>
      <c r="AS33" s="170">
        <f t="shared" si="184"/>
        <v>-4.4999999999999998E-2</v>
      </c>
      <c r="AU33" s="170">
        <f t="shared" si="185"/>
        <v>-3.8613138686131379E-2</v>
      </c>
      <c r="AV33" s="170">
        <f t="shared" si="186"/>
        <v>-8.0024330900243343E-2</v>
      </c>
      <c r="AW33" s="170">
        <f t="shared" si="187"/>
        <v>-0.18802919708029203</v>
      </c>
      <c r="AY33" s="170">
        <f t="shared" si="188"/>
        <v>-8.4839999999999971E-2</v>
      </c>
      <c r="AZ33" s="278">
        <f t="shared" si="189"/>
        <v>6.5986666666666624E-3</v>
      </c>
      <c r="BA33" s="284">
        <f t="shared" si="190"/>
        <v>-3.4370085704347804E-2</v>
      </c>
      <c r="BB33" s="276">
        <f t="shared" si="191"/>
        <v>-2.9096062434782591E-2</v>
      </c>
      <c r="BC33" s="277">
        <f t="shared" si="192"/>
        <v>-2.5777564278260851E-2</v>
      </c>
      <c r="BD33" s="278">
        <f t="shared" si="193"/>
        <v>6.5986666666666624E-3</v>
      </c>
      <c r="BE33" s="284">
        <f t="shared" si="194"/>
        <v>-3.4370085704347846E-2</v>
      </c>
      <c r="BF33" s="276">
        <f t="shared" si="195"/>
        <v>-2.9096062434782591E-2</v>
      </c>
      <c r="BG33" s="277">
        <f t="shared" si="196"/>
        <v>-2.5777564278260882E-2</v>
      </c>
      <c r="BH33" s="278">
        <f t="shared" si="197"/>
        <v>1.2725999999999987E-2</v>
      </c>
      <c r="BI33" s="284">
        <f t="shared" si="198"/>
        <v>-6.8740171408695677E-2</v>
      </c>
      <c r="BJ33" s="276">
        <f t="shared" si="199"/>
        <v>-5.8192124869565286E-2</v>
      </c>
      <c r="BK33" s="277">
        <f t="shared" si="200"/>
        <v>-5.1555128556521779E-2</v>
      </c>
      <c r="BL33" s="278">
        <f t="shared" si="201"/>
        <v>1.2725999999999987E-2</v>
      </c>
      <c r="BM33" s="284">
        <f t="shared" si="202"/>
        <v>-6.8740171408695636E-2</v>
      </c>
      <c r="BN33" s="276">
        <f t="shared" si="203"/>
        <v>-5.8192124869565168E-2</v>
      </c>
      <c r="BO33" s="277">
        <f t="shared" si="204"/>
        <v>-5.155512855652173E-2</v>
      </c>
      <c r="BP33" s="278">
        <f t="shared" si="205"/>
        <v>1.2725999999999987E-2</v>
      </c>
      <c r="BQ33" s="284">
        <f t="shared" si="206"/>
        <v>-6.8740171408695691E-2</v>
      </c>
      <c r="BR33" s="276">
        <f t="shared" si="207"/>
        <v>-5.8192124869565279E-2</v>
      </c>
      <c r="BS33" s="277">
        <f t="shared" si="208"/>
        <v>-5.1555128556521793E-2</v>
      </c>
      <c r="BT33" s="278">
        <f t="shared" si="209"/>
        <v>1.2725999999999987E-2</v>
      </c>
      <c r="BU33" s="284">
        <f t="shared" si="210"/>
        <v>-6.8740171408695636E-2</v>
      </c>
      <c r="BV33" s="276">
        <f t="shared" si="211"/>
        <v>-5.8192124869565182E-2</v>
      </c>
      <c r="BW33" s="278">
        <f t="shared" si="212"/>
        <v>-5.1555128556521702E-2</v>
      </c>
      <c r="BX33" s="391">
        <f t="shared" si="66"/>
        <v>-3.346466666666667E-2</v>
      </c>
      <c r="BY33" s="392">
        <f t="shared" si="67"/>
        <v>-0.20622051422608706</v>
      </c>
      <c r="BZ33" s="278"/>
      <c r="CB33" s="279">
        <f t="shared" si="213"/>
        <v>-0.48027897435897443</v>
      </c>
      <c r="CC33" s="64">
        <f t="shared" si="214"/>
        <v>-0.49945787197056862</v>
      </c>
      <c r="CD33" s="64">
        <f t="shared" si="215"/>
        <v>-0.51863676958216287</v>
      </c>
      <c r="CE33" s="64">
        <f t="shared" si="216"/>
        <v>-0.55746589813868463</v>
      </c>
      <c r="CF33" s="64">
        <f t="shared" si="217"/>
        <v>-0.5962950266952064</v>
      </c>
      <c r="CG33" s="64">
        <f t="shared" si="218"/>
        <v>-0.63512415525172816</v>
      </c>
      <c r="CH33" s="64">
        <f t="shared" si="219"/>
        <v>-0.67395328380824981</v>
      </c>
      <c r="CI33">
        <v>2043</v>
      </c>
      <c r="CJ33" s="240"/>
      <c r="CL33">
        <v>2043</v>
      </c>
      <c r="CM33" s="3">
        <f t="shared" si="68"/>
        <v>0.95</v>
      </c>
      <c r="CN33" s="64">
        <f t="shared" si="23"/>
        <v>0.92791999999999997</v>
      </c>
      <c r="CO33" s="64">
        <f t="shared" si="24"/>
        <v>0.92266999999999999</v>
      </c>
      <c r="CP33" s="64">
        <f t="shared" si="25"/>
        <v>0.90622769230769229</v>
      </c>
      <c r="CQ33" s="64">
        <f t="shared" si="26"/>
        <v>0.86122769230769225</v>
      </c>
      <c r="CR33" s="64">
        <f t="shared" si="27"/>
        <v>0.82261455362156088</v>
      </c>
      <c r="CS33" s="64">
        <f t="shared" si="28"/>
        <v>0.74259022272131758</v>
      </c>
      <c r="CT33" s="64">
        <f t="shared" si="29"/>
        <v>0.55456102564102561</v>
      </c>
      <c r="CU33" s="64">
        <f t="shared" si="30"/>
        <v>0.46972102564102564</v>
      </c>
      <c r="CV33" s="64">
        <f t="shared" si="31"/>
        <v>0.47631969230769228</v>
      </c>
      <c r="CW33" s="65">
        <f t="shared" si="69"/>
        <v>0.45054212802943144</v>
      </c>
      <c r="CX33" s="64">
        <f t="shared" si="70"/>
        <v>0.48291835897435892</v>
      </c>
      <c r="CY33" s="65">
        <f t="shared" si="71"/>
        <v>0.4313632304178372</v>
      </c>
      <c r="CZ33" s="64">
        <f t="shared" si="72"/>
        <v>0.49564435897435888</v>
      </c>
      <c r="DA33" s="65">
        <f t="shared" si="73"/>
        <v>0.39253410186131538</v>
      </c>
      <c r="DB33" s="64">
        <f t="shared" si="74"/>
        <v>0.50837035897435889</v>
      </c>
      <c r="DC33" s="65">
        <f t="shared" si="75"/>
        <v>0.35370497330479367</v>
      </c>
      <c r="DD33" s="64">
        <f t="shared" si="76"/>
        <v>0.52109635897435891</v>
      </c>
      <c r="DE33" s="65">
        <f t="shared" si="77"/>
        <v>0.3148758447482719</v>
      </c>
      <c r="DF33" s="64">
        <f t="shared" si="78"/>
        <v>0.53382235897435892</v>
      </c>
      <c r="DG33" s="65">
        <f t="shared" si="79"/>
        <v>0.2760467161917502</v>
      </c>
      <c r="DL33">
        <v>2043</v>
      </c>
      <c r="DM33" s="64">
        <f t="shared" si="80"/>
        <v>0.2760467161917502</v>
      </c>
      <c r="DN33" s="64">
        <f t="shared" si="81"/>
        <v>0.3148758447482719</v>
      </c>
      <c r="DO33" s="64">
        <f t="shared" si="82"/>
        <v>0.35370497330479367</v>
      </c>
      <c r="DP33" s="64">
        <f t="shared" si="83"/>
        <v>0.39253410186131538</v>
      </c>
      <c r="DQ33" s="64">
        <f t="shared" si="84"/>
        <v>0.4313632304178372</v>
      </c>
      <c r="DR33" s="64">
        <f t="shared" si="85"/>
        <v>0.45054212802943144</v>
      </c>
      <c r="DS33" s="64">
        <f t="shared" si="32"/>
        <v>0.46972102564102564</v>
      </c>
      <c r="DT33" s="64">
        <f t="shared" si="33"/>
        <v>0.55456102564102561</v>
      </c>
      <c r="DU33" s="64">
        <f t="shared" si="34"/>
        <v>0.74259022272131758</v>
      </c>
      <c r="DV33" s="64">
        <f t="shared" si="35"/>
        <v>0.82261455362156088</v>
      </c>
      <c r="DW33" s="64">
        <f t="shared" si="36"/>
        <v>0.86122769230769225</v>
      </c>
      <c r="DX33" s="64">
        <f t="shared" si="37"/>
        <v>0.90622769230769229</v>
      </c>
      <c r="DY33" s="64">
        <f t="shared" si="38"/>
        <v>0.92266999999999999</v>
      </c>
      <c r="DZ33" s="64">
        <f t="shared" si="39"/>
        <v>0.92791999999999997</v>
      </c>
      <c r="EA33" s="3">
        <f t="shared" si="86"/>
        <v>0.95</v>
      </c>
      <c r="EB33">
        <v>2043</v>
      </c>
      <c r="EC33" s="269">
        <f t="shared" si="87"/>
        <v>0.27604671619175025</v>
      </c>
      <c r="ED33" s="269">
        <f t="shared" si="88"/>
        <v>0.05</v>
      </c>
      <c r="EE33" s="64">
        <f t="shared" si="89"/>
        <v>3.8829128556521708E-2</v>
      </c>
      <c r="EF33" s="64">
        <f t="shared" si="90"/>
        <v>3.8829128556521764E-2</v>
      </c>
      <c r="EG33" s="64">
        <f t="shared" si="91"/>
        <v>3.8829128556521708E-2</v>
      </c>
      <c r="EH33" s="64">
        <f t="shared" si="92"/>
        <v>3.8829128556521819E-2</v>
      </c>
      <c r="EI33" s="64">
        <f t="shared" si="93"/>
        <v>1.9178897611594248E-2</v>
      </c>
      <c r="EJ33" s="64">
        <f t="shared" si="94"/>
        <v>1.9178897611594192E-2</v>
      </c>
      <c r="EK33" s="64">
        <f t="shared" si="95"/>
        <v>8.4839999999999971E-2</v>
      </c>
      <c r="EL33" s="64">
        <f t="shared" si="96"/>
        <v>0.18802919708029198</v>
      </c>
      <c r="EM33" s="64">
        <f t="shared" si="97"/>
        <v>8.0024330900243301E-2</v>
      </c>
      <c r="EN33" s="64">
        <f t="shared" si="98"/>
        <v>3.8613138686131365E-2</v>
      </c>
      <c r="EO33" s="64">
        <f t="shared" si="99"/>
        <v>4.500000000000004E-2</v>
      </c>
      <c r="EP33" s="64">
        <f t="shared" si="100"/>
        <v>1.6442307692307701E-2</v>
      </c>
      <c r="EQ33" s="64">
        <f t="shared" si="101"/>
        <v>5.2499999999999769E-3</v>
      </c>
      <c r="ER33" s="64">
        <f t="shared" si="102"/>
        <v>2.2079999999999989E-2</v>
      </c>
      <c r="EX33" s="89">
        <v>2043</v>
      </c>
      <c r="EY33" s="278">
        <f t="shared" si="103"/>
        <v>1.0266666666666666</v>
      </c>
      <c r="EZ33" s="278"/>
      <c r="FA33" s="278">
        <f t="shared" si="104"/>
        <v>0.3527133828584168</v>
      </c>
      <c r="FB33" s="278">
        <f t="shared" si="41"/>
        <v>0.05</v>
      </c>
      <c r="FC33" s="64">
        <f t="shared" si="42"/>
        <v>0.25777564278260878</v>
      </c>
      <c r="FD33" s="64">
        <f t="shared" si="105"/>
        <v>2.0738666666666683E-2</v>
      </c>
      <c r="FE33" s="64">
        <f t="shared" si="106"/>
        <v>0.18802919708029198</v>
      </c>
      <c r="FF33" s="64">
        <f t="shared" si="107"/>
        <v>8.0024330900243301E-2</v>
      </c>
      <c r="FG33" s="64">
        <f t="shared" si="108"/>
        <v>3.8613138686131365E-2</v>
      </c>
      <c r="FH33" s="64">
        <f t="shared" si="109"/>
        <v>4.500000000000004E-2</v>
      </c>
      <c r="FI33" s="64">
        <f t="shared" si="110"/>
        <v>1.6442307692307701E-2</v>
      </c>
      <c r="FJ33" s="64">
        <f t="shared" si="111"/>
        <v>5.2499999999999769E-3</v>
      </c>
      <c r="FK33" s="280">
        <f t="shared" si="112"/>
        <v>2.2079999999999989E-2</v>
      </c>
      <c r="FL33" s="64"/>
      <c r="FM33" s="89">
        <v>2043</v>
      </c>
      <c r="FN33" s="278">
        <f t="shared" si="113"/>
        <v>1.0266666666666666</v>
      </c>
      <c r="FP33" s="278">
        <f t="shared" si="114"/>
        <v>0.39154251141493857</v>
      </c>
      <c r="FQ33" s="278">
        <f t="shared" si="115"/>
        <v>0.05</v>
      </c>
      <c r="FR33" s="64">
        <f t="shared" si="116"/>
        <v>0.20622051422608706</v>
      </c>
      <c r="FS33" s="64">
        <f t="shared" si="117"/>
        <v>3.346466666666667E-2</v>
      </c>
      <c r="FT33" s="64">
        <f t="shared" si="118"/>
        <v>0.18802919708029198</v>
      </c>
      <c r="FU33" s="64">
        <f t="shared" si="119"/>
        <v>8.0024330900243301E-2</v>
      </c>
      <c r="FV33" s="64">
        <f t="shared" si="120"/>
        <v>3.8613138686131365E-2</v>
      </c>
      <c r="FW33" s="64">
        <f t="shared" si="121"/>
        <v>4.500000000000004E-2</v>
      </c>
      <c r="FX33" s="64">
        <f t="shared" si="122"/>
        <v>1.6442307692307701E-2</v>
      </c>
      <c r="FY33" s="64">
        <f t="shared" si="123"/>
        <v>5.2499999999999769E-3</v>
      </c>
      <c r="FZ33" s="280">
        <f t="shared" si="124"/>
        <v>2.2079999999999989E-2</v>
      </c>
      <c r="GA33" s="64"/>
      <c r="GB33" s="89">
        <v>2043</v>
      </c>
      <c r="GC33" s="278">
        <f t="shared" si="125"/>
        <v>1.0266666666666666</v>
      </c>
      <c r="GE33" s="278">
        <f t="shared" si="126"/>
        <v>0.43037163997146033</v>
      </c>
      <c r="GF33" s="278">
        <f t="shared" si="127"/>
        <v>0.05</v>
      </c>
      <c r="GG33" s="64">
        <f t="shared" si="128"/>
        <v>0.15466538566956525</v>
      </c>
      <c r="GH33" s="64">
        <f t="shared" si="129"/>
        <v>4.6190666666666658E-2</v>
      </c>
      <c r="GI33" s="64">
        <f t="shared" si="130"/>
        <v>0.18802919708029198</v>
      </c>
      <c r="GJ33" s="64">
        <f t="shared" si="131"/>
        <v>8.0024330900243301E-2</v>
      </c>
      <c r="GK33" s="64">
        <f t="shared" si="132"/>
        <v>3.8613138686131365E-2</v>
      </c>
      <c r="GL33" s="64">
        <f t="shared" si="133"/>
        <v>4.500000000000004E-2</v>
      </c>
      <c r="GM33" s="64">
        <f t="shared" si="134"/>
        <v>1.6442307692307701E-2</v>
      </c>
      <c r="GN33" s="64">
        <f t="shared" si="135"/>
        <v>5.2499999999999769E-3</v>
      </c>
      <c r="GO33" s="280">
        <f t="shared" si="136"/>
        <v>2.2079999999999989E-2</v>
      </c>
      <c r="GP33" s="64"/>
      <c r="GQ33" s="89">
        <v>2043</v>
      </c>
      <c r="GR33" s="278">
        <f t="shared" si="137"/>
        <v>1.0266666666666666</v>
      </c>
      <c r="GT33" s="278">
        <f t="shared" si="138"/>
        <v>0.46920076852798209</v>
      </c>
      <c r="GU33" s="278">
        <f t="shared" si="139"/>
        <v>0.05</v>
      </c>
      <c r="GV33" s="64">
        <f t="shared" si="140"/>
        <v>0.10311025711304352</v>
      </c>
      <c r="GW33" s="64">
        <f t="shared" si="141"/>
        <v>5.8916666666666645E-2</v>
      </c>
      <c r="GX33" s="64">
        <f t="shared" si="43"/>
        <v>0.18802919708029198</v>
      </c>
      <c r="GY33" s="64">
        <f t="shared" si="44"/>
        <v>8.0024330900243301E-2</v>
      </c>
      <c r="GZ33" s="64">
        <f t="shared" si="45"/>
        <v>3.8613138686131365E-2</v>
      </c>
      <c r="HA33" s="64">
        <f t="shared" si="46"/>
        <v>4.500000000000004E-2</v>
      </c>
      <c r="HB33" s="64">
        <f t="shared" si="47"/>
        <v>1.6442307692307701E-2</v>
      </c>
      <c r="HC33" s="64">
        <f t="shared" si="48"/>
        <v>5.2499999999999769E-3</v>
      </c>
      <c r="HD33" s="280">
        <f t="shared" si="49"/>
        <v>2.2079999999999989E-2</v>
      </c>
      <c r="HE33" s="64"/>
      <c r="HF33" s="89">
        <v>2043</v>
      </c>
      <c r="HG33" s="278">
        <f t="shared" si="142"/>
        <v>1.0266666666666666</v>
      </c>
      <c r="HI33" s="278">
        <f t="shared" si="143"/>
        <v>0.50802989708450386</v>
      </c>
      <c r="HJ33" s="278">
        <f t="shared" si="144"/>
        <v>0.05</v>
      </c>
      <c r="HK33" s="64">
        <f t="shared" si="145"/>
        <v>5.1555128556521737E-2</v>
      </c>
      <c r="HL33" s="64">
        <f t="shared" si="146"/>
        <v>7.1642666666666632E-2</v>
      </c>
      <c r="HM33" s="64">
        <f t="shared" si="147"/>
        <v>0.18802919708029198</v>
      </c>
      <c r="HN33" s="64">
        <f t="shared" si="148"/>
        <v>8.0024330900243301E-2</v>
      </c>
      <c r="HO33" s="64">
        <f t="shared" si="149"/>
        <v>3.8613138686131365E-2</v>
      </c>
      <c r="HP33" s="64">
        <f t="shared" si="150"/>
        <v>4.500000000000004E-2</v>
      </c>
      <c r="HQ33" s="64">
        <f t="shared" si="151"/>
        <v>1.6442307692307701E-2</v>
      </c>
      <c r="HR33" s="64">
        <f t="shared" si="152"/>
        <v>5.2499999999999769E-3</v>
      </c>
      <c r="HS33" s="280">
        <f t="shared" si="153"/>
        <v>2.2079999999999989E-2</v>
      </c>
      <c r="HT33" s="64"/>
      <c r="HU33" s="89">
        <v>2043</v>
      </c>
      <c r="HV33" s="278">
        <f t="shared" si="154"/>
        <v>1.0266666666666666</v>
      </c>
      <c r="HX33" s="278">
        <f t="shared" si="155"/>
        <v>0.52720879469609816</v>
      </c>
      <c r="HY33" s="278">
        <f t="shared" si="156"/>
        <v>0.05</v>
      </c>
      <c r="HZ33" s="64">
        <f t="shared" si="157"/>
        <v>2.5777564278260851E-2</v>
      </c>
      <c r="IA33" s="64">
        <f t="shared" si="158"/>
        <v>7.8241333333333302E-2</v>
      </c>
      <c r="IB33" s="64">
        <f t="shared" si="159"/>
        <v>0.18802919708029198</v>
      </c>
      <c r="IC33" s="64">
        <f t="shared" si="160"/>
        <v>8.0024330900243301E-2</v>
      </c>
      <c r="ID33" s="64">
        <f t="shared" si="161"/>
        <v>3.8613138686131365E-2</v>
      </c>
      <c r="IE33" s="64">
        <f t="shared" si="162"/>
        <v>4.500000000000004E-2</v>
      </c>
      <c r="IF33" s="64">
        <f t="shared" si="163"/>
        <v>1.6442307692307701E-2</v>
      </c>
      <c r="IG33" s="64">
        <f t="shared" si="164"/>
        <v>5.2499999999999769E-3</v>
      </c>
      <c r="IH33" s="280">
        <f t="shared" si="165"/>
        <v>2.2079999999999989E-2</v>
      </c>
      <c r="II33" s="64"/>
      <c r="IJ33" s="89">
        <v>2043</v>
      </c>
      <c r="IK33" s="278">
        <f t="shared" si="166"/>
        <v>1.0266666666666666</v>
      </c>
      <c r="IM33" s="278">
        <f t="shared" si="167"/>
        <v>0.54638769230769224</v>
      </c>
      <c r="IN33" s="278">
        <f t="shared" si="168"/>
        <v>0.05</v>
      </c>
      <c r="IO33" s="64">
        <v>0</v>
      </c>
      <c r="IP33" s="64">
        <f t="shared" si="169"/>
        <v>8.4839999999999971E-2</v>
      </c>
      <c r="IQ33" s="64">
        <f t="shared" si="50"/>
        <v>0.18802919708029198</v>
      </c>
      <c r="IR33" s="64">
        <f t="shared" si="51"/>
        <v>8.0024330900243301E-2</v>
      </c>
      <c r="IS33" s="64">
        <f t="shared" si="52"/>
        <v>3.8613138686131365E-2</v>
      </c>
      <c r="IT33" s="64">
        <f t="shared" si="53"/>
        <v>4.500000000000004E-2</v>
      </c>
      <c r="IU33" s="64">
        <f t="shared" si="54"/>
        <v>1.6442307692307701E-2</v>
      </c>
      <c r="IV33" s="64">
        <f t="shared" si="55"/>
        <v>5.2499999999999769E-3</v>
      </c>
      <c r="IW33" s="280">
        <f t="shared" si="56"/>
        <v>2.2079999999999989E-2</v>
      </c>
      <c r="IX33" s="3">
        <f t="shared" si="170"/>
        <v>0.27318128654970764</v>
      </c>
      <c r="IY33">
        <f t="shared" si="57"/>
        <v>2043</v>
      </c>
      <c r="IZ33" s="3">
        <f t="shared" si="171"/>
        <v>17.942766923076924</v>
      </c>
      <c r="JA33" s="353">
        <f>HLOOKUP(JA$3,'Main calculations'!JG$8:JS$39,26,FALSE)</f>
        <v>17.386938614228949</v>
      </c>
      <c r="JB33" s="3">
        <f t="shared" si="172"/>
        <v>23.72</v>
      </c>
      <c r="JC33" s="353">
        <f t="shared" si="173"/>
        <v>24.96842105263158</v>
      </c>
      <c r="JD33" s="368">
        <f t="shared" si="174"/>
        <v>14.778783625730993</v>
      </c>
      <c r="JE33" s="369">
        <f t="shared" si="175"/>
        <v>15.556614342874731</v>
      </c>
      <c r="JF33" s="363">
        <f t="shared" si="176"/>
        <v>16.16000170696098</v>
      </c>
      <c r="JG33" s="362">
        <f t="shared" si="58"/>
        <v>17.010528112590507</v>
      </c>
      <c r="JH33" s="366">
        <f t="shared" si="59"/>
        <v>16.517591683517502</v>
      </c>
      <c r="JI33" s="367">
        <f t="shared" si="9"/>
        <v>17.386938614228949</v>
      </c>
      <c r="JJ33" s="363">
        <f t="shared" si="60"/>
        <v>16.875181660074027</v>
      </c>
      <c r="JK33" s="362">
        <f t="shared" si="61"/>
        <v>17.763349115867399</v>
      </c>
      <c r="JL33" s="366">
        <f t="shared" si="177"/>
        <v>17.232771636630545</v>
      </c>
      <c r="JM33" s="367">
        <f t="shared" si="62"/>
        <v>18.139759617505838</v>
      </c>
      <c r="JN33" s="363">
        <f t="shared" si="178"/>
        <v>17.590361613187067</v>
      </c>
      <c r="JO33" s="362">
        <f t="shared" si="63"/>
        <v>18.516170119144281</v>
      </c>
      <c r="JP33" s="366">
        <f t="shared" si="179"/>
        <v>17.766564268131994</v>
      </c>
      <c r="JQ33" s="367">
        <f t="shared" si="64"/>
        <v>18.70164659803368</v>
      </c>
      <c r="JR33" s="363">
        <f t="shared" si="180"/>
        <v>17.942766923076924</v>
      </c>
      <c r="JS33" s="362">
        <f t="shared" si="65"/>
        <v>18.887123076923078</v>
      </c>
      <c r="JU33" t="s">
        <v>261</v>
      </c>
    </row>
    <row r="34" spans="1:281">
      <c r="A34" s="247" t="s">
        <v>291</v>
      </c>
      <c r="B34" s="247"/>
      <c r="C34" s="247"/>
      <c r="D34" s="247"/>
      <c r="E34" s="247"/>
      <c r="F34" s="247"/>
      <c r="AO34" s="89">
        <v>2044</v>
      </c>
      <c r="AP34" s="170">
        <f t="shared" si="181"/>
        <v>-2.3039999999999998E-2</v>
      </c>
      <c r="AQ34" s="170">
        <f t="shared" si="182"/>
        <v>-5.5000000000000032E-3</v>
      </c>
      <c r="AR34" s="170">
        <f t="shared" si="183"/>
        <v>-1.7307692307692305E-2</v>
      </c>
      <c r="AS34" s="170">
        <f t="shared" si="184"/>
        <v>-4.821428571428571E-2</v>
      </c>
      <c r="AU34" s="170">
        <f t="shared" si="185"/>
        <v>-4.0291970802919699E-2</v>
      </c>
      <c r="AV34" s="170">
        <f t="shared" si="186"/>
        <v>-8.3503649635036536E-2</v>
      </c>
      <c r="AW34" s="170">
        <f t="shared" si="187"/>
        <v>-0.19620437956204387</v>
      </c>
      <c r="AY34" s="170">
        <f t="shared" si="188"/>
        <v>-8.4839999999999971E-2</v>
      </c>
      <c r="AZ34" s="278">
        <f t="shared" si="189"/>
        <v>6.9128888888888842E-3</v>
      </c>
      <c r="BA34" s="284">
        <f t="shared" si="190"/>
        <v>-3.5002180591304326E-2</v>
      </c>
      <c r="BB34" s="276">
        <f t="shared" si="191"/>
        <v>-3.0481589217391285E-2</v>
      </c>
      <c r="BC34" s="277">
        <f t="shared" si="192"/>
        <v>-2.7501713321739112E-2</v>
      </c>
      <c r="BD34" s="278">
        <f t="shared" si="193"/>
        <v>6.9128888888888842E-3</v>
      </c>
      <c r="BE34" s="284">
        <f t="shared" si="194"/>
        <v>-3.5002180591304367E-2</v>
      </c>
      <c r="BF34" s="276">
        <f t="shared" si="195"/>
        <v>-3.0481589217391285E-2</v>
      </c>
      <c r="BG34" s="277">
        <f t="shared" si="196"/>
        <v>-2.7501713321739146E-2</v>
      </c>
      <c r="BH34" s="278">
        <f t="shared" si="197"/>
        <v>1.3331999999999986E-2</v>
      </c>
      <c r="BI34" s="284">
        <f t="shared" si="198"/>
        <v>-7.0004361182608721E-2</v>
      </c>
      <c r="BJ34" s="276">
        <f t="shared" si="199"/>
        <v>-6.0963178434782682E-2</v>
      </c>
      <c r="BK34" s="277">
        <f t="shared" si="200"/>
        <v>-5.5003426643478293E-2</v>
      </c>
      <c r="BL34" s="278">
        <f t="shared" si="201"/>
        <v>1.3331999999999986E-2</v>
      </c>
      <c r="BM34" s="284">
        <f t="shared" si="202"/>
        <v>-7.0004361182608679E-2</v>
      </c>
      <c r="BN34" s="276">
        <f t="shared" si="203"/>
        <v>-6.0963178434782557E-2</v>
      </c>
      <c r="BO34" s="277">
        <f t="shared" si="204"/>
        <v>-5.5003426643478251E-2</v>
      </c>
      <c r="BP34" s="278">
        <f t="shared" si="205"/>
        <v>1.3331999999999986E-2</v>
      </c>
      <c r="BQ34" s="284">
        <f t="shared" si="206"/>
        <v>-7.0004361182608735E-2</v>
      </c>
      <c r="BR34" s="276">
        <f t="shared" si="207"/>
        <v>-6.0963178434782675E-2</v>
      </c>
      <c r="BS34" s="277">
        <f t="shared" si="208"/>
        <v>-5.500342664347832E-2</v>
      </c>
      <c r="BT34" s="278">
        <f t="shared" si="209"/>
        <v>1.3331999999999986E-2</v>
      </c>
      <c r="BU34" s="284">
        <f t="shared" si="210"/>
        <v>-7.0004361182608679E-2</v>
      </c>
      <c r="BV34" s="276">
        <f t="shared" si="211"/>
        <v>-6.0963178434782571E-2</v>
      </c>
      <c r="BW34" s="278">
        <f t="shared" si="212"/>
        <v>-5.5003426643478223E-2</v>
      </c>
      <c r="BX34" s="391">
        <f t="shared" si="66"/>
        <v>-3.1018222222222249E-2</v>
      </c>
      <c r="BY34" s="392">
        <f t="shared" si="67"/>
        <v>-0.22001370657391314</v>
      </c>
      <c r="BZ34" s="278"/>
      <c r="CB34" s="279">
        <f t="shared" si="213"/>
        <v>-0.49890197802197805</v>
      </c>
      <c r="CC34" s="64">
        <f t="shared" si="214"/>
        <v>-0.51949080245482826</v>
      </c>
      <c r="CD34" s="64">
        <f t="shared" si="215"/>
        <v>-0.54007962688767852</v>
      </c>
      <c r="CE34" s="64">
        <f t="shared" si="216"/>
        <v>-0.58175105353115675</v>
      </c>
      <c r="CF34" s="64">
        <f t="shared" si="217"/>
        <v>-0.62342248017463497</v>
      </c>
      <c r="CG34" s="64">
        <f t="shared" si="218"/>
        <v>-0.66509390681811331</v>
      </c>
      <c r="CH34" s="64">
        <f t="shared" si="219"/>
        <v>-0.70676533346159154</v>
      </c>
      <c r="CI34">
        <v>2044</v>
      </c>
      <c r="CJ34" s="240"/>
      <c r="CL34">
        <v>2044</v>
      </c>
      <c r="CM34" s="3">
        <f t="shared" si="68"/>
        <v>0.95</v>
      </c>
      <c r="CN34" s="64">
        <f t="shared" si="23"/>
        <v>0.92696000000000001</v>
      </c>
      <c r="CO34" s="64">
        <f t="shared" si="24"/>
        <v>0.92146000000000006</v>
      </c>
      <c r="CP34" s="64">
        <f t="shared" si="25"/>
        <v>0.9041523076923077</v>
      </c>
      <c r="CQ34" s="64">
        <f t="shared" si="26"/>
        <v>0.85593802197802193</v>
      </c>
      <c r="CR34" s="64">
        <f t="shared" si="27"/>
        <v>0.81564605117510225</v>
      </c>
      <c r="CS34" s="64">
        <f t="shared" si="28"/>
        <v>0.73214240154006571</v>
      </c>
      <c r="CT34" s="64">
        <f t="shared" si="29"/>
        <v>0.53593802197802187</v>
      </c>
      <c r="CU34" s="64">
        <f t="shared" si="30"/>
        <v>0.4510980219780219</v>
      </c>
      <c r="CV34" s="64">
        <f t="shared" si="31"/>
        <v>0.45801091086691076</v>
      </c>
      <c r="CW34" s="65">
        <f t="shared" si="69"/>
        <v>0.43050919754517164</v>
      </c>
      <c r="CX34" s="64">
        <f t="shared" si="70"/>
        <v>0.46492379975579962</v>
      </c>
      <c r="CY34" s="65">
        <f t="shared" si="71"/>
        <v>0.40992037311232132</v>
      </c>
      <c r="CZ34" s="64">
        <f t="shared" si="72"/>
        <v>0.47825579975579963</v>
      </c>
      <c r="DA34" s="65">
        <f t="shared" si="73"/>
        <v>0.36824894646884304</v>
      </c>
      <c r="DB34" s="64">
        <f t="shared" si="74"/>
        <v>0.49158779975579964</v>
      </c>
      <c r="DC34" s="65">
        <f t="shared" si="75"/>
        <v>0.32657751982536481</v>
      </c>
      <c r="DD34" s="64">
        <f t="shared" si="76"/>
        <v>0.50491979975579959</v>
      </c>
      <c r="DE34" s="65">
        <f t="shared" si="77"/>
        <v>0.28490609318188653</v>
      </c>
      <c r="DF34" s="64">
        <f t="shared" si="78"/>
        <v>0.5182517997557996</v>
      </c>
      <c r="DG34" s="65">
        <f t="shared" si="79"/>
        <v>0.24323466653840831</v>
      </c>
      <c r="DL34">
        <v>2044</v>
      </c>
      <c r="DM34" s="64">
        <f t="shared" si="80"/>
        <v>0.24323466653840831</v>
      </c>
      <c r="DN34" s="64">
        <f t="shared" si="81"/>
        <v>0.28490609318188653</v>
      </c>
      <c r="DO34" s="64">
        <f t="shared" si="82"/>
        <v>0.32657751982536481</v>
      </c>
      <c r="DP34" s="64">
        <f t="shared" si="83"/>
        <v>0.36824894646884304</v>
      </c>
      <c r="DQ34" s="64">
        <f t="shared" si="84"/>
        <v>0.40992037311232132</v>
      </c>
      <c r="DR34" s="64">
        <f t="shared" si="85"/>
        <v>0.43050919754517164</v>
      </c>
      <c r="DS34" s="64">
        <f t="shared" si="32"/>
        <v>0.4510980219780219</v>
      </c>
      <c r="DT34" s="64">
        <f t="shared" si="33"/>
        <v>0.53593802197802187</v>
      </c>
      <c r="DU34" s="64">
        <f t="shared" si="34"/>
        <v>0.73214240154006571</v>
      </c>
      <c r="DV34" s="64">
        <f t="shared" si="35"/>
        <v>0.81564605117510225</v>
      </c>
      <c r="DW34" s="64">
        <f t="shared" si="36"/>
        <v>0.85593802197802193</v>
      </c>
      <c r="DX34" s="64">
        <f t="shared" si="37"/>
        <v>0.9041523076923077</v>
      </c>
      <c r="DY34" s="64">
        <f t="shared" si="38"/>
        <v>0.92146000000000006</v>
      </c>
      <c r="DZ34" s="64">
        <f t="shared" si="39"/>
        <v>0.92696000000000001</v>
      </c>
      <c r="EA34" s="3">
        <f t="shared" si="86"/>
        <v>0.95</v>
      </c>
      <c r="EB34">
        <v>2044</v>
      </c>
      <c r="EC34" s="269">
        <f t="shared" si="87"/>
        <v>0.24323466653840842</v>
      </c>
      <c r="ED34" s="269">
        <f t="shared" si="88"/>
        <v>0.05</v>
      </c>
      <c r="EE34" s="64">
        <f t="shared" si="89"/>
        <v>4.1671426643478227E-2</v>
      </c>
      <c r="EF34" s="64">
        <f t="shared" si="90"/>
        <v>4.1671426643478282E-2</v>
      </c>
      <c r="EG34" s="64">
        <f t="shared" si="91"/>
        <v>4.1671426643478227E-2</v>
      </c>
      <c r="EH34" s="64">
        <f t="shared" si="92"/>
        <v>4.1671426643478282E-2</v>
      </c>
      <c r="EI34" s="64">
        <f t="shared" si="93"/>
        <v>2.0588824432850317E-2</v>
      </c>
      <c r="EJ34" s="64">
        <f t="shared" si="94"/>
        <v>2.0588824432850261E-2</v>
      </c>
      <c r="EK34" s="64">
        <f t="shared" si="95"/>
        <v>8.4839999999999971E-2</v>
      </c>
      <c r="EL34" s="64">
        <f t="shared" si="96"/>
        <v>0.19620437956204384</v>
      </c>
      <c r="EM34" s="64">
        <f t="shared" si="97"/>
        <v>8.3503649635036536E-2</v>
      </c>
      <c r="EN34" s="64">
        <f t="shared" si="98"/>
        <v>4.0291970802919685E-2</v>
      </c>
      <c r="EO34" s="64">
        <f t="shared" si="99"/>
        <v>4.8214285714285765E-2</v>
      </c>
      <c r="EP34" s="64">
        <f t="shared" si="100"/>
        <v>1.7307692307692357E-2</v>
      </c>
      <c r="EQ34" s="64">
        <f t="shared" si="101"/>
        <v>5.4999999999999494E-3</v>
      </c>
      <c r="ER34" s="64">
        <f t="shared" si="102"/>
        <v>2.3039999999999949E-2</v>
      </c>
      <c r="EX34" s="89">
        <v>2044</v>
      </c>
      <c r="EY34" s="278">
        <f t="shared" si="103"/>
        <v>1.03</v>
      </c>
      <c r="EZ34" s="278"/>
      <c r="FA34" s="278">
        <f t="shared" si="104"/>
        <v>0.32323466653840827</v>
      </c>
      <c r="FB34" s="278">
        <f t="shared" si="41"/>
        <v>0.05</v>
      </c>
      <c r="FC34" s="64">
        <f t="shared" si="42"/>
        <v>0.27501713321739135</v>
      </c>
      <c r="FD34" s="64">
        <f t="shared" si="105"/>
        <v>1.7686222222222263E-2</v>
      </c>
      <c r="FE34" s="64">
        <f t="shared" si="106"/>
        <v>0.19620437956204384</v>
      </c>
      <c r="FF34" s="64">
        <f t="shared" si="107"/>
        <v>8.3503649635036536E-2</v>
      </c>
      <c r="FG34" s="64">
        <f t="shared" si="108"/>
        <v>4.0291970802919685E-2</v>
      </c>
      <c r="FH34" s="64">
        <f t="shared" si="109"/>
        <v>4.8214285714285765E-2</v>
      </c>
      <c r="FI34" s="64">
        <f t="shared" si="110"/>
        <v>1.7307692307692357E-2</v>
      </c>
      <c r="FJ34" s="64">
        <f t="shared" si="111"/>
        <v>5.4999999999999494E-3</v>
      </c>
      <c r="FK34" s="280">
        <f t="shared" si="112"/>
        <v>2.3039999999999949E-2</v>
      </c>
      <c r="FL34" s="64"/>
      <c r="FM34" s="89">
        <v>2044</v>
      </c>
      <c r="FN34" s="278">
        <f t="shared" si="113"/>
        <v>1.03</v>
      </c>
      <c r="FP34" s="278">
        <f t="shared" si="114"/>
        <v>0.3649060931818866</v>
      </c>
      <c r="FQ34" s="278">
        <f t="shared" si="115"/>
        <v>0.05</v>
      </c>
      <c r="FR34" s="64">
        <f t="shared" si="116"/>
        <v>0.22001370657391314</v>
      </c>
      <c r="FS34" s="64">
        <f t="shared" si="117"/>
        <v>3.1018222222222249E-2</v>
      </c>
      <c r="FT34" s="64">
        <f t="shared" si="118"/>
        <v>0.19620437956204384</v>
      </c>
      <c r="FU34" s="64">
        <f t="shared" si="119"/>
        <v>8.3503649635036536E-2</v>
      </c>
      <c r="FV34" s="64">
        <f t="shared" si="120"/>
        <v>4.0291970802919685E-2</v>
      </c>
      <c r="FW34" s="64">
        <f t="shared" si="121"/>
        <v>4.8214285714285765E-2</v>
      </c>
      <c r="FX34" s="64">
        <f t="shared" si="122"/>
        <v>1.7307692307692357E-2</v>
      </c>
      <c r="FY34" s="64">
        <f t="shared" si="123"/>
        <v>5.4999999999999494E-3</v>
      </c>
      <c r="FZ34" s="280">
        <f t="shared" si="124"/>
        <v>2.3039999999999949E-2</v>
      </c>
      <c r="GA34" s="64"/>
      <c r="GB34" s="89">
        <v>2044</v>
      </c>
      <c r="GC34" s="278">
        <f t="shared" si="125"/>
        <v>1.03</v>
      </c>
      <c r="GE34" s="278">
        <f t="shared" si="126"/>
        <v>0.40657751982536494</v>
      </c>
      <c r="GF34" s="278">
        <f t="shared" si="127"/>
        <v>0.05</v>
      </c>
      <c r="GG34" s="64">
        <f t="shared" si="128"/>
        <v>0.16501027993043482</v>
      </c>
      <c r="GH34" s="64">
        <f t="shared" si="129"/>
        <v>4.4350222222222235E-2</v>
      </c>
      <c r="GI34" s="64">
        <f t="shared" si="130"/>
        <v>0.19620437956204384</v>
      </c>
      <c r="GJ34" s="64">
        <f t="shared" si="131"/>
        <v>8.3503649635036536E-2</v>
      </c>
      <c r="GK34" s="64">
        <f t="shared" si="132"/>
        <v>4.0291970802919685E-2</v>
      </c>
      <c r="GL34" s="64">
        <f t="shared" si="133"/>
        <v>4.8214285714285765E-2</v>
      </c>
      <c r="GM34" s="64">
        <f t="shared" si="134"/>
        <v>1.7307692307692357E-2</v>
      </c>
      <c r="GN34" s="64">
        <f t="shared" si="135"/>
        <v>5.4999999999999494E-3</v>
      </c>
      <c r="GO34" s="280">
        <f t="shared" si="136"/>
        <v>2.3039999999999949E-2</v>
      </c>
      <c r="GP34" s="64"/>
      <c r="GQ34" s="89">
        <v>2044</v>
      </c>
      <c r="GR34" s="278">
        <f t="shared" si="137"/>
        <v>1.03</v>
      </c>
      <c r="GT34" s="278">
        <f t="shared" si="138"/>
        <v>0.44824894646884317</v>
      </c>
      <c r="GU34" s="278">
        <f t="shared" si="139"/>
        <v>0.05</v>
      </c>
      <c r="GV34" s="64">
        <f t="shared" si="140"/>
        <v>0.11000685328695656</v>
      </c>
      <c r="GW34" s="64">
        <f t="shared" si="141"/>
        <v>5.7682222222222218E-2</v>
      </c>
      <c r="GX34" s="64">
        <f t="shared" si="43"/>
        <v>0.19620437956204384</v>
      </c>
      <c r="GY34" s="64">
        <f t="shared" si="44"/>
        <v>8.3503649635036536E-2</v>
      </c>
      <c r="GZ34" s="64">
        <f t="shared" si="45"/>
        <v>4.0291970802919685E-2</v>
      </c>
      <c r="HA34" s="64">
        <f t="shared" si="46"/>
        <v>4.8214285714285765E-2</v>
      </c>
      <c r="HB34" s="64">
        <f t="shared" si="47"/>
        <v>1.7307692307692357E-2</v>
      </c>
      <c r="HC34" s="64">
        <f t="shared" si="48"/>
        <v>5.4999999999999494E-3</v>
      </c>
      <c r="HD34" s="280">
        <f t="shared" si="49"/>
        <v>2.3039999999999949E-2</v>
      </c>
      <c r="HE34" s="64"/>
      <c r="HF34" s="89">
        <v>2044</v>
      </c>
      <c r="HG34" s="278">
        <f t="shared" si="142"/>
        <v>1.03</v>
      </c>
      <c r="HI34" s="278">
        <f t="shared" si="143"/>
        <v>0.48992037311232151</v>
      </c>
      <c r="HJ34" s="278">
        <f t="shared" si="144"/>
        <v>0.05</v>
      </c>
      <c r="HK34" s="64">
        <f t="shared" si="145"/>
        <v>5.5003426643478258E-2</v>
      </c>
      <c r="HL34" s="64">
        <f t="shared" si="146"/>
        <v>7.1014222222222201E-2</v>
      </c>
      <c r="HM34" s="64">
        <f t="shared" si="147"/>
        <v>0.19620437956204384</v>
      </c>
      <c r="HN34" s="64">
        <f t="shared" si="148"/>
        <v>8.3503649635036536E-2</v>
      </c>
      <c r="HO34" s="64">
        <f t="shared" si="149"/>
        <v>4.0291970802919685E-2</v>
      </c>
      <c r="HP34" s="64">
        <f t="shared" si="150"/>
        <v>4.8214285714285765E-2</v>
      </c>
      <c r="HQ34" s="64">
        <f t="shared" si="151"/>
        <v>1.7307692307692357E-2</v>
      </c>
      <c r="HR34" s="64">
        <f t="shared" si="152"/>
        <v>5.4999999999999494E-3</v>
      </c>
      <c r="HS34" s="280">
        <f t="shared" si="153"/>
        <v>2.3039999999999949E-2</v>
      </c>
      <c r="HT34" s="64"/>
      <c r="HU34" s="89">
        <v>2044</v>
      </c>
      <c r="HV34" s="278">
        <f t="shared" si="154"/>
        <v>1.03</v>
      </c>
      <c r="HX34" s="278">
        <f t="shared" si="155"/>
        <v>0.51050919754517177</v>
      </c>
      <c r="HY34" s="278">
        <f t="shared" si="156"/>
        <v>0.05</v>
      </c>
      <c r="HZ34" s="64">
        <f t="shared" si="157"/>
        <v>2.7501713321739112E-2</v>
      </c>
      <c r="IA34" s="64">
        <f t="shared" si="158"/>
        <v>7.7927111111111086E-2</v>
      </c>
      <c r="IB34" s="64">
        <f t="shared" si="159"/>
        <v>0.19620437956204384</v>
      </c>
      <c r="IC34" s="64">
        <f t="shared" si="160"/>
        <v>8.3503649635036536E-2</v>
      </c>
      <c r="ID34" s="64">
        <f t="shared" si="161"/>
        <v>4.0291970802919685E-2</v>
      </c>
      <c r="IE34" s="64">
        <f t="shared" si="162"/>
        <v>4.8214285714285765E-2</v>
      </c>
      <c r="IF34" s="64">
        <f t="shared" si="163"/>
        <v>1.7307692307692357E-2</v>
      </c>
      <c r="IG34" s="64">
        <f t="shared" si="164"/>
        <v>5.4999999999999494E-3</v>
      </c>
      <c r="IH34" s="280">
        <f t="shared" si="165"/>
        <v>2.3039999999999949E-2</v>
      </c>
      <c r="II34" s="64"/>
      <c r="IJ34" s="89">
        <v>2044</v>
      </c>
      <c r="IK34" s="278">
        <f t="shared" si="166"/>
        <v>1.03</v>
      </c>
      <c r="IM34" s="278">
        <f t="shared" si="167"/>
        <v>0.53109802197802192</v>
      </c>
      <c r="IN34" s="278">
        <f t="shared" si="168"/>
        <v>0.05</v>
      </c>
      <c r="IO34" s="64">
        <v>0</v>
      </c>
      <c r="IP34" s="64">
        <f t="shared" si="169"/>
        <v>8.4839999999999971E-2</v>
      </c>
      <c r="IQ34" s="64">
        <f t="shared" si="50"/>
        <v>0.19620437956204384</v>
      </c>
      <c r="IR34" s="64">
        <f t="shared" si="51"/>
        <v>8.3503649635036536E-2</v>
      </c>
      <c r="IS34" s="64">
        <f t="shared" si="52"/>
        <v>4.0291970802919685E-2</v>
      </c>
      <c r="IT34" s="64">
        <f t="shared" si="53"/>
        <v>4.8214285714285765E-2</v>
      </c>
      <c r="IU34" s="64">
        <f t="shared" si="54"/>
        <v>1.7307692307692357E-2</v>
      </c>
      <c r="IV34" s="64">
        <f t="shared" si="55"/>
        <v>5.4999999999999494E-3</v>
      </c>
      <c r="IW34" s="280">
        <f t="shared" si="56"/>
        <v>2.3039999999999949E-2</v>
      </c>
      <c r="IX34" s="3">
        <f t="shared" si="170"/>
        <v>0.24256140350877153</v>
      </c>
      <c r="IY34">
        <f t="shared" si="57"/>
        <v>2044</v>
      </c>
      <c r="IZ34" s="3">
        <f t="shared" si="171"/>
        <v>18.473864945054945</v>
      </c>
      <c r="JA34" s="353">
        <f>HLOOKUP(JA$3,'Main calculations'!JG$8:JS$39,27,FALSE)</f>
        <v>17.771050291262515</v>
      </c>
      <c r="JB34" s="3">
        <f t="shared" si="172"/>
        <v>24.75</v>
      </c>
      <c r="JC34" s="353">
        <f t="shared" si="173"/>
        <v>26.05263157894737</v>
      </c>
      <c r="JD34" s="368">
        <f t="shared" si="174"/>
        <v>15.021345029239765</v>
      </c>
      <c r="JE34" s="369">
        <f t="shared" si="175"/>
        <v>15.811942136041859</v>
      </c>
      <c r="JF34" s="363">
        <f t="shared" si="176"/>
        <v>16.483236373499388</v>
      </c>
      <c r="JG34" s="362">
        <f t="shared" si="58"/>
        <v>17.350775129999356</v>
      </c>
      <c r="JH34" s="366">
        <f t="shared" si="59"/>
        <v>16.882497776699388</v>
      </c>
      <c r="JI34" s="367">
        <f t="shared" si="9"/>
        <v>17.771050291262515</v>
      </c>
      <c r="JJ34" s="363">
        <f t="shared" si="60"/>
        <v>17.281759179899392</v>
      </c>
      <c r="JK34" s="362">
        <f t="shared" si="61"/>
        <v>18.191325452525678</v>
      </c>
      <c r="JL34" s="366">
        <f t="shared" si="177"/>
        <v>17.681020583099389</v>
      </c>
      <c r="JM34" s="367">
        <f t="shared" si="62"/>
        <v>18.611600613788831</v>
      </c>
      <c r="JN34" s="363">
        <f t="shared" si="178"/>
        <v>18.08028198629939</v>
      </c>
      <c r="JO34" s="362">
        <f t="shared" si="63"/>
        <v>19.03187577505199</v>
      </c>
      <c r="JP34" s="366">
        <f t="shared" si="179"/>
        <v>18.277073465677166</v>
      </c>
      <c r="JQ34" s="367">
        <f t="shared" si="64"/>
        <v>19.239024700712807</v>
      </c>
      <c r="JR34" s="363">
        <f t="shared" si="180"/>
        <v>18.473864945054945</v>
      </c>
      <c r="JS34" s="362">
        <f t="shared" si="65"/>
        <v>19.446173626373628</v>
      </c>
    </row>
    <row r="35" spans="1:281" ht="29" customHeight="1">
      <c r="A35" s="262">
        <f>'1 StrategyMix for CarbonTargets'!V46</f>
        <v>0.8</v>
      </c>
      <c r="B35" s="247"/>
      <c r="C35" s="247"/>
      <c r="D35" s="247"/>
      <c r="E35" s="247"/>
      <c r="F35" s="247"/>
      <c r="G35" s="710" t="s">
        <v>177</v>
      </c>
      <c r="H35" s="710"/>
      <c r="I35" s="710"/>
      <c r="J35" s="710"/>
      <c r="K35" s="9"/>
      <c r="M35" s="710" t="s">
        <v>178</v>
      </c>
      <c r="N35" s="710"/>
      <c r="O35" s="710"/>
      <c r="P35" s="710"/>
      <c r="Q35" s="710"/>
      <c r="AO35" s="89">
        <v>2045</v>
      </c>
      <c r="AP35" s="170">
        <f t="shared" si="181"/>
        <v>-2.3999999999999997E-2</v>
      </c>
      <c r="AQ35" s="170">
        <f t="shared" si="182"/>
        <v>-5.7500000000000034E-3</v>
      </c>
      <c r="AR35" s="170">
        <f t="shared" si="183"/>
        <v>-1.817307692307692E-2</v>
      </c>
      <c r="AS35" s="170">
        <f t="shared" si="184"/>
        <v>-5.1428571428571421E-2</v>
      </c>
      <c r="AU35" s="170">
        <f t="shared" si="185"/>
        <v>-4.197080291970802E-2</v>
      </c>
      <c r="AV35" s="170">
        <f t="shared" si="186"/>
        <v>-8.698296836982973E-2</v>
      </c>
      <c r="AW35" s="170">
        <f t="shared" si="187"/>
        <v>-0.2043795620437957</v>
      </c>
      <c r="AY35" s="170">
        <f t="shared" si="188"/>
        <v>-8.4839999999999971E-2</v>
      </c>
      <c r="AZ35" s="278">
        <f t="shared" si="189"/>
        <v>7.227111111111106E-3</v>
      </c>
      <c r="BA35" s="284">
        <f t="shared" si="190"/>
        <v>-3.5634275478260848E-2</v>
      </c>
      <c r="BB35" s="276">
        <f t="shared" si="191"/>
        <v>-3.186711599999998E-2</v>
      </c>
      <c r="BC35" s="277">
        <f t="shared" si="192"/>
        <v>-2.9271011999999978E-2</v>
      </c>
      <c r="BD35" s="278">
        <f t="shared" si="193"/>
        <v>7.227111111111106E-3</v>
      </c>
      <c r="BE35" s="284">
        <f t="shared" si="194"/>
        <v>-3.5634275478260889E-2</v>
      </c>
      <c r="BF35" s="276">
        <f t="shared" si="195"/>
        <v>-3.186711599999998E-2</v>
      </c>
      <c r="BG35" s="277">
        <f t="shared" si="196"/>
        <v>-2.9271012000000016E-2</v>
      </c>
      <c r="BH35" s="278">
        <f t="shared" si="197"/>
        <v>1.3937999999999985E-2</v>
      </c>
      <c r="BI35" s="284">
        <f t="shared" si="198"/>
        <v>-7.1268550956521765E-2</v>
      </c>
      <c r="BJ35" s="276">
        <f t="shared" si="199"/>
        <v>-6.3734232000000071E-2</v>
      </c>
      <c r="BK35" s="277">
        <f t="shared" si="200"/>
        <v>-5.8542024000000033E-2</v>
      </c>
      <c r="BL35" s="278">
        <f t="shared" si="201"/>
        <v>1.3937999999999985E-2</v>
      </c>
      <c r="BM35" s="284">
        <f t="shared" si="202"/>
        <v>-7.1268550956521723E-2</v>
      </c>
      <c r="BN35" s="276">
        <f t="shared" si="203"/>
        <v>-6.3734231999999946E-2</v>
      </c>
      <c r="BO35" s="277">
        <f t="shared" si="204"/>
        <v>-5.8542023999999991E-2</v>
      </c>
      <c r="BP35" s="278">
        <f t="shared" si="205"/>
        <v>1.3937999999999985E-2</v>
      </c>
      <c r="BQ35" s="284">
        <f t="shared" si="206"/>
        <v>-7.1268550956521778E-2</v>
      </c>
      <c r="BR35" s="276">
        <f t="shared" si="207"/>
        <v>-6.3734232000000071E-2</v>
      </c>
      <c r="BS35" s="277">
        <f t="shared" si="208"/>
        <v>-5.8542024000000067E-2</v>
      </c>
      <c r="BT35" s="278">
        <f t="shared" si="209"/>
        <v>1.3937999999999985E-2</v>
      </c>
      <c r="BU35" s="284">
        <f t="shared" si="210"/>
        <v>-7.1268550956521723E-2</v>
      </c>
      <c r="BV35" s="276">
        <f t="shared" si="211"/>
        <v>-6.373423199999996E-2</v>
      </c>
      <c r="BW35" s="278">
        <f t="shared" si="212"/>
        <v>-5.8542023999999956E-2</v>
      </c>
      <c r="BX35" s="391">
        <f t="shared" si="66"/>
        <v>-2.8571777777777814E-2</v>
      </c>
      <c r="BY35" s="392">
        <f t="shared" si="67"/>
        <v>-0.2341680960000001</v>
      </c>
      <c r="BZ35" s="278"/>
      <c r="CB35" s="279">
        <f t="shared" si="213"/>
        <v>-0.51752498168498173</v>
      </c>
      <c r="CC35" s="64">
        <f t="shared" si="214"/>
        <v>-0.53956888257387059</v>
      </c>
      <c r="CD35" s="64">
        <f t="shared" si="215"/>
        <v>-0.56161278346275956</v>
      </c>
      <c r="CE35" s="64">
        <f t="shared" si="216"/>
        <v>-0.60621680746275963</v>
      </c>
      <c r="CF35" s="64">
        <f t="shared" si="217"/>
        <v>-0.6508208314627596</v>
      </c>
      <c r="CG35" s="64">
        <f t="shared" si="218"/>
        <v>-0.69542485546275967</v>
      </c>
      <c r="CH35" s="64">
        <f t="shared" si="219"/>
        <v>-0.74002887946275964</v>
      </c>
      <c r="CI35">
        <v>2045</v>
      </c>
      <c r="CJ35" s="240"/>
      <c r="CL35">
        <v>2045</v>
      </c>
      <c r="CM35" s="3">
        <f t="shared" si="68"/>
        <v>0.95</v>
      </c>
      <c r="CN35" s="64">
        <f t="shared" si="23"/>
        <v>0.92599999999999993</v>
      </c>
      <c r="CO35" s="64">
        <f t="shared" si="24"/>
        <v>0.9202499999999999</v>
      </c>
      <c r="CP35" s="64">
        <f t="shared" si="25"/>
        <v>0.902076923076923</v>
      </c>
      <c r="CQ35" s="64">
        <f t="shared" si="26"/>
        <v>0.85064835164835162</v>
      </c>
      <c r="CR35" s="64">
        <f t="shared" si="27"/>
        <v>0.80867754872864361</v>
      </c>
      <c r="CS35" s="64">
        <f t="shared" si="28"/>
        <v>0.72169458035881384</v>
      </c>
      <c r="CT35" s="64">
        <f t="shared" si="29"/>
        <v>0.51731501831501814</v>
      </c>
      <c r="CU35" s="64">
        <f t="shared" si="30"/>
        <v>0.43247501831501817</v>
      </c>
      <c r="CV35" s="64">
        <f t="shared" si="31"/>
        <v>0.4397021294261293</v>
      </c>
      <c r="CW35" s="65">
        <f t="shared" si="69"/>
        <v>0.41043111742612931</v>
      </c>
      <c r="CX35" s="64">
        <f t="shared" si="70"/>
        <v>0.44692924053724042</v>
      </c>
      <c r="CY35" s="65">
        <f t="shared" si="71"/>
        <v>0.3883872165372404</v>
      </c>
      <c r="CZ35" s="64">
        <f t="shared" si="72"/>
        <v>0.46086724053724043</v>
      </c>
      <c r="DA35" s="65">
        <f t="shared" si="73"/>
        <v>0.34378319253724038</v>
      </c>
      <c r="DB35" s="64">
        <f t="shared" si="74"/>
        <v>0.47480524053724044</v>
      </c>
      <c r="DC35" s="65">
        <f t="shared" si="75"/>
        <v>0.29917916853724041</v>
      </c>
      <c r="DD35" s="64">
        <f t="shared" si="76"/>
        <v>0.48874324053724044</v>
      </c>
      <c r="DE35" s="65">
        <f t="shared" si="77"/>
        <v>0.25457514453724034</v>
      </c>
      <c r="DF35" s="64">
        <f t="shared" si="78"/>
        <v>0.50268124053724039</v>
      </c>
      <c r="DG35" s="65">
        <f t="shared" si="79"/>
        <v>0.20997112053724032</v>
      </c>
      <c r="DL35">
        <v>2045</v>
      </c>
      <c r="DM35" s="64">
        <f t="shared" si="80"/>
        <v>0.20997112053724032</v>
      </c>
      <c r="DN35" s="64">
        <f t="shared" si="81"/>
        <v>0.25457514453724034</v>
      </c>
      <c r="DO35" s="64">
        <f t="shared" si="82"/>
        <v>0.29917916853724041</v>
      </c>
      <c r="DP35" s="64">
        <f t="shared" si="83"/>
        <v>0.34378319253724038</v>
      </c>
      <c r="DQ35" s="64">
        <f t="shared" si="84"/>
        <v>0.3883872165372404</v>
      </c>
      <c r="DR35" s="64">
        <f t="shared" si="85"/>
        <v>0.41043111742612931</v>
      </c>
      <c r="DS35" s="64">
        <f t="shared" si="32"/>
        <v>0.43247501831501817</v>
      </c>
      <c r="DT35" s="64">
        <f t="shared" si="33"/>
        <v>0.51731501831501814</v>
      </c>
      <c r="DU35" s="64">
        <f t="shared" si="34"/>
        <v>0.72169458035881384</v>
      </c>
      <c r="DV35" s="64">
        <f t="shared" si="35"/>
        <v>0.80867754872864361</v>
      </c>
      <c r="DW35" s="64">
        <f t="shared" si="36"/>
        <v>0.85064835164835162</v>
      </c>
      <c r="DX35" s="64">
        <f t="shared" si="37"/>
        <v>0.902076923076923</v>
      </c>
      <c r="DY35" s="64">
        <f t="shared" si="38"/>
        <v>0.9202499999999999</v>
      </c>
      <c r="DZ35" s="64">
        <f t="shared" si="39"/>
        <v>0.92599999999999993</v>
      </c>
      <c r="EA35" s="3">
        <f t="shared" si="86"/>
        <v>0.95</v>
      </c>
      <c r="EB35">
        <v>2045</v>
      </c>
      <c r="EC35" s="269">
        <f t="shared" si="87"/>
        <v>0.20997112053724043</v>
      </c>
      <c r="ED35" s="269">
        <f t="shared" si="88"/>
        <v>0.05</v>
      </c>
      <c r="EE35" s="64">
        <f t="shared" si="89"/>
        <v>4.460402400000002E-2</v>
      </c>
      <c r="EF35" s="64">
        <f t="shared" si="90"/>
        <v>4.4604024000000075E-2</v>
      </c>
      <c r="EG35" s="64">
        <f t="shared" si="91"/>
        <v>4.4604023999999964E-2</v>
      </c>
      <c r="EH35" s="64">
        <f t="shared" si="92"/>
        <v>4.460402400000002E-2</v>
      </c>
      <c r="EI35" s="64">
        <f t="shared" si="93"/>
        <v>2.2043900888888912E-2</v>
      </c>
      <c r="EJ35" s="64">
        <f t="shared" si="94"/>
        <v>2.2043900888888857E-2</v>
      </c>
      <c r="EK35" s="64">
        <f t="shared" si="95"/>
        <v>8.4839999999999971E-2</v>
      </c>
      <c r="EL35" s="64">
        <f t="shared" si="96"/>
        <v>0.2043795620437957</v>
      </c>
      <c r="EM35" s="64">
        <f t="shared" si="97"/>
        <v>8.6982968369829772E-2</v>
      </c>
      <c r="EN35" s="64">
        <f t="shared" si="98"/>
        <v>4.1970802919708006E-2</v>
      </c>
      <c r="EO35" s="64">
        <f t="shared" si="99"/>
        <v>5.1428571428571379E-2</v>
      </c>
      <c r="EP35" s="64">
        <f t="shared" si="100"/>
        <v>1.8173076923076903E-2</v>
      </c>
      <c r="EQ35" s="64">
        <f t="shared" si="101"/>
        <v>5.7500000000000329E-3</v>
      </c>
      <c r="ER35" s="64">
        <f t="shared" si="102"/>
        <v>2.4000000000000021E-2</v>
      </c>
      <c r="EX35" s="89">
        <v>2045</v>
      </c>
      <c r="EY35" s="278">
        <f t="shared" si="103"/>
        <v>1.0333333333333332</v>
      </c>
      <c r="EZ35" s="278"/>
      <c r="FA35" s="278">
        <f t="shared" si="104"/>
        <v>0.29330445387057347</v>
      </c>
      <c r="FB35" s="278">
        <f t="shared" si="41"/>
        <v>0.05</v>
      </c>
      <c r="FC35" s="64">
        <f t="shared" si="42"/>
        <v>0.29271012000000007</v>
      </c>
      <c r="FD35" s="64">
        <f t="shared" si="105"/>
        <v>1.4633777777777829E-2</v>
      </c>
      <c r="FE35" s="64">
        <f t="shared" si="106"/>
        <v>0.2043795620437957</v>
      </c>
      <c r="FF35" s="64">
        <f t="shared" si="107"/>
        <v>8.6982968369829772E-2</v>
      </c>
      <c r="FG35" s="64">
        <f t="shared" si="108"/>
        <v>4.1970802919708006E-2</v>
      </c>
      <c r="FH35" s="64">
        <f t="shared" si="109"/>
        <v>5.1428571428571379E-2</v>
      </c>
      <c r="FI35" s="64">
        <f t="shared" si="110"/>
        <v>1.8173076923076903E-2</v>
      </c>
      <c r="FJ35" s="64">
        <f t="shared" si="111"/>
        <v>5.7500000000000329E-3</v>
      </c>
      <c r="FK35" s="280">
        <f t="shared" si="112"/>
        <v>2.4000000000000021E-2</v>
      </c>
      <c r="FL35" s="64"/>
      <c r="FM35" s="89">
        <v>2045</v>
      </c>
      <c r="FN35" s="278">
        <f t="shared" si="113"/>
        <v>1.0333333333333332</v>
      </c>
      <c r="FP35" s="278">
        <f t="shared" si="114"/>
        <v>0.33790847787057354</v>
      </c>
      <c r="FQ35" s="278">
        <f t="shared" si="115"/>
        <v>0.05</v>
      </c>
      <c r="FR35" s="64">
        <f t="shared" si="116"/>
        <v>0.2341680960000001</v>
      </c>
      <c r="FS35" s="64">
        <f t="shared" si="117"/>
        <v>2.8571777777777814E-2</v>
      </c>
      <c r="FT35" s="64">
        <f t="shared" si="118"/>
        <v>0.2043795620437957</v>
      </c>
      <c r="FU35" s="64">
        <f t="shared" si="119"/>
        <v>8.6982968369829772E-2</v>
      </c>
      <c r="FV35" s="64">
        <f t="shared" si="120"/>
        <v>4.1970802919708006E-2</v>
      </c>
      <c r="FW35" s="64">
        <f t="shared" si="121"/>
        <v>5.1428571428571379E-2</v>
      </c>
      <c r="FX35" s="64">
        <f t="shared" si="122"/>
        <v>1.8173076923076903E-2</v>
      </c>
      <c r="FY35" s="64">
        <f t="shared" si="123"/>
        <v>5.7500000000000329E-3</v>
      </c>
      <c r="FZ35" s="280">
        <f t="shared" si="124"/>
        <v>2.4000000000000021E-2</v>
      </c>
      <c r="GA35" s="64"/>
      <c r="GB35" s="89">
        <v>2045</v>
      </c>
      <c r="GC35" s="278">
        <f t="shared" si="125"/>
        <v>1.0333333333333332</v>
      </c>
      <c r="GE35" s="278">
        <f t="shared" si="126"/>
        <v>0.38251250187057362</v>
      </c>
      <c r="GF35" s="278">
        <f t="shared" si="127"/>
        <v>0.05</v>
      </c>
      <c r="GG35" s="64">
        <f t="shared" si="128"/>
        <v>0.17562607200000002</v>
      </c>
      <c r="GH35" s="64">
        <f t="shared" si="129"/>
        <v>4.2509777777777799E-2</v>
      </c>
      <c r="GI35" s="64">
        <f t="shared" si="130"/>
        <v>0.2043795620437957</v>
      </c>
      <c r="GJ35" s="64">
        <f t="shared" si="131"/>
        <v>8.6982968369829772E-2</v>
      </c>
      <c r="GK35" s="64">
        <f t="shared" si="132"/>
        <v>4.1970802919708006E-2</v>
      </c>
      <c r="GL35" s="64">
        <f t="shared" si="133"/>
        <v>5.1428571428571379E-2</v>
      </c>
      <c r="GM35" s="64">
        <f t="shared" si="134"/>
        <v>1.8173076923076903E-2</v>
      </c>
      <c r="GN35" s="64">
        <f t="shared" si="135"/>
        <v>5.7500000000000329E-3</v>
      </c>
      <c r="GO35" s="280">
        <f t="shared" si="136"/>
        <v>2.4000000000000021E-2</v>
      </c>
      <c r="GP35" s="64"/>
      <c r="GQ35" s="89">
        <v>2045</v>
      </c>
      <c r="GR35" s="278">
        <f t="shared" si="137"/>
        <v>1.0333333333333332</v>
      </c>
      <c r="GT35" s="278">
        <f t="shared" si="138"/>
        <v>0.42711652587057358</v>
      </c>
      <c r="GU35" s="278">
        <f t="shared" si="139"/>
        <v>0.05</v>
      </c>
      <c r="GV35" s="64">
        <f t="shared" si="140"/>
        <v>0.11708404800000002</v>
      </c>
      <c r="GW35" s="64">
        <f t="shared" si="141"/>
        <v>5.6447777777777784E-2</v>
      </c>
      <c r="GX35" s="64">
        <f t="shared" si="43"/>
        <v>0.2043795620437957</v>
      </c>
      <c r="GY35" s="64">
        <f t="shared" si="44"/>
        <v>8.6982968369829772E-2</v>
      </c>
      <c r="GZ35" s="64">
        <f t="shared" si="45"/>
        <v>4.1970802919708006E-2</v>
      </c>
      <c r="HA35" s="64">
        <f t="shared" si="46"/>
        <v>5.1428571428571379E-2</v>
      </c>
      <c r="HB35" s="64">
        <f t="shared" si="47"/>
        <v>1.8173076923076903E-2</v>
      </c>
      <c r="HC35" s="64">
        <f t="shared" si="48"/>
        <v>5.7500000000000329E-3</v>
      </c>
      <c r="HD35" s="280">
        <f t="shared" si="49"/>
        <v>2.4000000000000021E-2</v>
      </c>
      <c r="HE35" s="64"/>
      <c r="HF35" s="89">
        <v>2045</v>
      </c>
      <c r="HG35" s="278">
        <f t="shared" si="142"/>
        <v>1.0333333333333332</v>
      </c>
      <c r="HI35" s="278">
        <f t="shared" si="143"/>
        <v>0.47172054987057366</v>
      </c>
      <c r="HJ35" s="278">
        <f t="shared" si="144"/>
        <v>0.05</v>
      </c>
      <c r="HK35" s="64">
        <f t="shared" si="145"/>
        <v>5.8542023999999998E-2</v>
      </c>
      <c r="HL35" s="64">
        <f t="shared" si="146"/>
        <v>7.0385777777777769E-2</v>
      </c>
      <c r="HM35" s="64">
        <f t="shared" si="147"/>
        <v>0.2043795620437957</v>
      </c>
      <c r="HN35" s="64">
        <f t="shared" si="148"/>
        <v>8.6982968369829772E-2</v>
      </c>
      <c r="HO35" s="64">
        <f t="shared" si="149"/>
        <v>4.1970802919708006E-2</v>
      </c>
      <c r="HP35" s="64">
        <f t="shared" si="150"/>
        <v>5.1428571428571379E-2</v>
      </c>
      <c r="HQ35" s="64">
        <f t="shared" si="151"/>
        <v>1.8173076923076903E-2</v>
      </c>
      <c r="HR35" s="64">
        <f t="shared" si="152"/>
        <v>5.7500000000000329E-3</v>
      </c>
      <c r="HS35" s="280">
        <f t="shared" si="153"/>
        <v>2.4000000000000021E-2</v>
      </c>
      <c r="HT35" s="64"/>
      <c r="HU35" s="89">
        <v>2045</v>
      </c>
      <c r="HV35" s="278">
        <f t="shared" si="154"/>
        <v>1.0333333333333332</v>
      </c>
      <c r="HX35" s="278">
        <f t="shared" si="155"/>
        <v>0.49376445075946251</v>
      </c>
      <c r="HY35" s="278">
        <f t="shared" si="156"/>
        <v>0.05</v>
      </c>
      <c r="HZ35" s="64">
        <f t="shared" si="157"/>
        <v>2.9271011999999978E-2</v>
      </c>
      <c r="IA35" s="64">
        <f t="shared" si="158"/>
        <v>7.761288888888887E-2</v>
      </c>
      <c r="IB35" s="64">
        <f t="shared" si="159"/>
        <v>0.2043795620437957</v>
      </c>
      <c r="IC35" s="64">
        <f t="shared" si="160"/>
        <v>8.6982968369829772E-2</v>
      </c>
      <c r="ID35" s="64">
        <f t="shared" si="161"/>
        <v>4.1970802919708006E-2</v>
      </c>
      <c r="IE35" s="64">
        <f t="shared" si="162"/>
        <v>5.1428571428571379E-2</v>
      </c>
      <c r="IF35" s="64">
        <f t="shared" si="163"/>
        <v>1.8173076923076903E-2</v>
      </c>
      <c r="IG35" s="64">
        <f t="shared" si="164"/>
        <v>5.7500000000000329E-3</v>
      </c>
      <c r="IH35" s="280">
        <f t="shared" si="165"/>
        <v>2.4000000000000021E-2</v>
      </c>
      <c r="II35" s="64"/>
      <c r="IJ35" s="89">
        <v>2045</v>
      </c>
      <c r="IK35" s="278">
        <f t="shared" si="166"/>
        <v>1.0333333333333332</v>
      </c>
      <c r="IM35" s="278">
        <f t="shared" si="167"/>
        <v>0.51580835164835137</v>
      </c>
      <c r="IN35" s="278">
        <f t="shared" si="168"/>
        <v>0.05</v>
      </c>
      <c r="IO35" s="64">
        <v>0</v>
      </c>
      <c r="IP35" s="64">
        <f t="shared" si="169"/>
        <v>8.4839999999999971E-2</v>
      </c>
      <c r="IQ35" s="64">
        <f t="shared" si="50"/>
        <v>0.2043795620437957</v>
      </c>
      <c r="IR35" s="64">
        <f t="shared" si="51"/>
        <v>8.6982968369829772E-2</v>
      </c>
      <c r="IS35" s="64">
        <f t="shared" si="52"/>
        <v>4.1970802919708006E-2</v>
      </c>
      <c r="IT35" s="64">
        <f t="shared" si="53"/>
        <v>5.1428571428571379E-2</v>
      </c>
      <c r="IU35" s="64">
        <f t="shared" si="54"/>
        <v>1.8173076923076903E-2</v>
      </c>
      <c r="IV35" s="64">
        <f t="shared" si="55"/>
        <v>5.7500000000000329E-3</v>
      </c>
      <c r="IW35" s="280">
        <f t="shared" si="56"/>
        <v>2.4000000000000021E-2</v>
      </c>
      <c r="IX35" s="3">
        <f t="shared" si="170"/>
        <v>0.21184210526315717</v>
      </c>
      <c r="IY35">
        <f t="shared" si="57"/>
        <v>2045</v>
      </c>
      <c r="IZ35" s="3">
        <f t="shared" si="171"/>
        <v>18.989673296703298</v>
      </c>
      <c r="JA35" s="353">
        <f>HLOOKUP(JA$3,'Main calculations'!JG$8:JS$39,28,FALSE)</f>
        <v>18.126743425863118</v>
      </c>
      <c r="JB35" s="3">
        <f t="shared" si="172"/>
        <v>25.783333333333331</v>
      </c>
      <c r="JC35" s="353">
        <f t="shared" si="173"/>
        <v>27.140350877192983</v>
      </c>
      <c r="JD35" s="368">
        <f t="shared" si="174"/>
        <v>15.233187134502922</v>
      </c>
      <c r="JE35" s="369">
        <f t="shared" si="175"/>
        <v>16.03493382579255</v>
      </c>
      <c r="JF35" s="363">
        <f t="shared" si="176"/>
        <v>16.77654082736996</v>
      </c>
      <c r="JG35" s="362">
        <f t="shared" si="58"/>
        <v>17.659516660389432</v>
      </c>
      <c r="JH35" s="366">
        <f t="shared" si="59"/>
        <v>17.220406254569962</v>
      </c>
      <c r="JI35" s="367">
        <f t="shared" si="9"/>
        <v>18.126743425863118</v>
      </c>
      <c r="JJ35" s="363">
        <f t="shared" si="60"/>
        <v>17.664271681769964</v>
      </c>
      <c r="JK35" s="362">
        <f t="shared" si="61"/>
        <v>18.593970191336805</v>
      </c>
      <c r="JL35" s="366">
        <f t="shared" si="177"/>
        <v>18.108137108969963</v>
      </c>
      <c r="JM35" s="367">
        <f t="shared" si="62"/>
        <v>19.061196956810488</v>
      </c>
      <c r="JN35" s="363">
        <f t="shared" si="178"/>
        <v>18.552002536169965</v>
      </c>
      <c r="JO35" s="362">
        <f t="shared" si="63"/>
        <v>19.528423722284174</v>
      </c>
      <c r="JP35" s="366">
        <f t="shared" si="179"/>
        <v>18.77083791643663</v>
      </c>
      <c r="JQ35" s="367">
        <f t="shared" si="64"/>
        <v>19.75877675414382</v>
      </c>
      <c r="JR35" s="363">
        <f t="shared" si="180"/>
        <v>18.989673296703298</v>
      </c>
      <c r="JS35" s="362">
        <f t="shared" si="65"/>
        <v>19.989129786003474</v>
      </c>
    </row>
    <row r="36" spans="1:281" ht="26.5">
      <c r="A36" s="247" t="s">
        <v>111</v>
      </c>
      <c r="B36" s="247"/>
      <c r="C36" s="247"/>
      <c r="D36" s="247"/>
      <c r="E36" s="247"/>
      <c r="F36" s="261"/>
      <c r="G36" s="234" t="s">
        <v>116</v>
      </c>
      <c r="H36" s="711" t="s">
        <v>149</v>
      </c>
      <c r="I36" s="712"/>
      <c r="J36" s="712"/>
      <c r="K36" s="289"/>
      <c r="M36" s="234" t="s">
        <v>116</v>
      </c>
      <c r="N36" s="234"/>
      <c r="O36" s="711" t="s">
        <v>149</v>
      </c>
      <c r="P36" s="712"/>
      <c r="Q36" s="712"/>
      <c r="AO36" s="89">
        <v>2046</v>
      </c>
      <c r="AP36" s="170">
        <f t="shared" si="181"/>
        <v>-2.4959999999999996E-2</v>
      </c>
      <c r="AQ36" s="170">
        <f t="shared" si="182"/>
        <v>-6.0000000000000036E-3</v>
      </c>
      <c r="AR36" s="170">
        <f t="shared" si="183"/>
        <v>-1.9038461538461535E-2</v>
      </c>
      <c r="AS36" s="170">
        <f t="shared" si="184"/>
        <v>-5.4642857142857132E-2</v>
      </c>
      <c r="AU36" s="170">
        <f t="shared" si="185"/>
        <v>-4.364963503649634E-2</v>
      </c>
      <c r="AV36" s="170">
        <f t="shared" si="186"/>
        <v>-9.0462287104622924E-2</v>
      </c>
      <c r="AW36" s="170">
        <f t="shared" si="187"/>
        <v>-0.21255474452554754</v>
      </c>
      <c r="AY36" s="170">
        <f t="shared" si="188"/>
        <v>-8.4839999999999971E-2</v>
      </c>
      <c r="AZ36" s="278">
        <f t="shared" si="189"/>
        <v>7.5413333333333278E-3</v>
      </c>
      <c r="BA36" s="284">
        <f t="shared" si="190"/>
        <v>-3.6266370365217369E-2</v>
      </c>
      <c r="BB36" s="276">
        <f t="shared" si="191"/>
        <v>-3.3252642782608678E-2</v>
      </c>
      <c r="BC36" s="277">
        <f t="shared" si="192"/>
        <v>-3.1085460313043461E-2</v>
      </c>
      <c r="BD36" s="278">
        <f t="shared" si="193"/>
        <v>7.5413333333333278E-3</v>
      </c>
      <c r="BE36" s="284">
        <f t="shared" si="194"/>
        <v>-3.6266370365217411E-2</v>
      </c>
      <c r="BF36" s="276">
        <f t="shared" si="195"/>
        <v>-3.3252642782608678E-2</v>
      </c>
      <c r="BG36" s="277">
        <f t="shared" si="196"/>
        <v>-3.1085460313043496E-2</v>
      </c>
      <c r="BH36" s="278">
        <f t="shared" si="197"/>
        <v>1.4543999999999984E-2</v>
      </c>
      <c r="BI36" s="284">
        <f t="shared" si="198"/>
        <v>-7.2532740730434808E-2</v>
      </c>
      <c r="BJ36" s="276">
        <f t="shared" si="199"/>
        <v>-6.6505285565217467E-2</v>
      </c>
      <c r="BK36" s="277">
        <f t="shared" si="200"/>
        <v>-6.2170920626086992E-2</v>
      </c>
      <c r="BL36" s="278">
        <f t="shared" si="201"/>
        <v>1.4543999999999984E-2</v>
      </c>
      <c r="BM36" s="284">
        <f t="shared" si="202"/>
        <v>-7.2532740730434767E-2</v>
      </c>
      <c r="BN36" s="276">
        <f t="shared" si="203"/>
        <v>-6.6505285565217329E-2</v>
      </c>
      <c r="BO36" s="277">
        <f t="shared" si="204"/>
        <v>-6.2170920626086937E-2</v>
      </c>
      <c r="BP36" s="278">
        <f t="shared" si="205"/>
        <v>1.4543999999999984E-2</v>
      </c>
      <c r="BQ36" s="284">
        <f t="shared" si="206"/>
        <v>-7.2532740730434822E-2</v>
      </c>
      <c r="BR36" s="276">
        <f t="shared" si="207"/>
        <v>-6.6505285565217467E-2</v>
      </c>
      <c r="BS36" s="277">
        <f t="shared" si="208"/>
        <v>-6.2170920626087034E-2</v>
      </c>
      <c r="BT36" s="278">
        <f t="shared" si="209"/>
        <v>1.4543999999999984E-2</v>
      </c>
      <c r="BU36" s="284">
        <f t="shared" si="210"/>
        <v>-7.2532740730434767E-2</v>
      </c>
      <c r="BV36" s="276">
        <f t="shared" si="211"/>
        <v>-6.6505285565217356E-2</v>
      </c>
      <c r="BW36" s="278">
        <f t="shared" si="212"/>
        <v>-6.2170920626086923E-2</v>
      </c>
      <c r="BX36" s="391">
        <f t="shared" si="66"/>
        <v>-2.6125333333333351E-2</v>
      </c>
      <c r="BY36" s="392">
        <f t="shared" si="67"/>
        <v>-0.24868368250434791</v>
      </c>
      <c r="BZ36" s="278"/>
      <c r="CB36" s="279">
        <f t="shared" si="213"/>
        <v>-0.53614798534798536</v>
      </c>
      <c r="CC36" s="64">
        <f t="shared" si="214"/>
        <v>-0.55969211232769556</v>
      </c>
      <c r="CD36" s="64">
        <f t="shared" si="215"/>
        <v>-0.58323623930740576</v>
      </c>
      <c r="CE36" s="64">
        <f t="shared" si="216"/>
        <v>-0.63086315993349273</v>
      </c>
      <c r="CF36" s="64">
        <f t="shared" si="217"/>
        <v>-0.67849008055957971</v>
      </c>
      <c r="CG36" s="64">
        <f t="shared" si="218"/>
        <v>-0.7261170011856668</v>
      </c>
      <c r="CH36" s="64">
        <f t="shared" si="219"/>
        <v>-0.77374392181175367</v>
      </c>
      <c r="CI36">
        <v>2046</v>
      </c>
      <c r="CJ36" s="240"/>
      <c r="CL36">
        <v>2046</v>
      </c>
      <c r="CM36" s="3">
        <f t="shared" si="68"/>
        <v>0.95</v>
      </c>
      <c r="CN36" s="64">
        <f t="shared" si="23"/>
        <v>0.92503999999999997</v>
      </c>
      <c r="CO36" s="64">
        <f t="shared" si="24"/>
        <v>0.91903999999999997</v>
      </c>
      <c r="CP36" s="64">
        <f t="shared" si="25"/>
        <v>0.90000153846153841</v>
      </c>
      <c r="CQ36" s="64">
        <f t="shared" si="26"/>
        <v>0.8453586813186813</v>
      </c>
      <c r="CR36" s="64">
        <f t="shared" si="27"/>
        <v>0.80170904628218498</v>
      </c>
      <c r="CS36" s="64">
        <f t="shared" si="28"/>
        <v>0.71124675917756208</v>
      </c>
      <c r="CT36" s="64">
        <f t="shared" si="29"/>
        <v>0.49869201465201451</v>
      </c>
      <c r="CU36" s="64">
        <f t="shared" si="30"/>
        <v>0.41385201465201454</v>
      </c>
      <c r="CV36" s="64">
        <f t="shared" si="31"/>
        <v>0.42139334798534789</v>
      </c>
      <c r="CW36" s="65">
        <f t="shared" si="69"/>
        <v>0.3903078876723044</v>
      </c>
      <c r="CX36" s="64">
        <f t="shared" si="70"/>
        <v>0.42893468131868123</v>
      </c>
      <c r="CY36" s="65">
        <f t="shared" si="71"/>
        <v>0.36676376069259431</v>
      </c>
      <c r="CZ36" s="64">
        <f t="shared" si="72"/>
        <v>0.44347868131868123</v>
      </c>
      <c r="DA36" s="65">
        <f t="shared" si="73"/>
        <v>0.31913684006650733</v>
      </c>
      <c r="DB36" s="64">
        <f t="shared" si="74"/>
        <v>0.45802268131868124</v>
      </c>
      <c r="DC36" s="65">
        <f t="shared" si="75"/>
        <v>0.27150991944042041</v>
      </c>
      <c r="DD36" s="64">
        <f t="shared" si="76"/>
        <v>0.47256668131868124</v>
      </c>
      <c r="DE36" s="65">
        <f t="shared" si="77"/>
        <v>0.22388299881433338</v>
      </c>
      <c r="DF36" s="64">
        <f t="shared" si="78"/>
        <v>0.48711068131868124</v>
      </c>
      <c r="DG36" s="65">
        <f t="shared" si="79"/>
        <v>0.17625607818824646</v>
      </c>
      <c r="DL36">
        <v>2046</v>
      </c>
      <c r="DM36" s="64">
        <f t="shared" si="80"/>
        <v>0.17625607818824646</v>
      </c>
      <c r="DN36" s="64">
        <f t="shared" si="81"/>
        <v>0.22388299881433338</v>
      </c>
      <c r="DO36" s="64">
        <f t="shared" si="82"/>
        <v>0.27150991944042041</v>
      </c>
      <c r="DP36" s="64">
        <f t="shared" si="83"/>
        <v>0.31913684006650733</v>
      </c>
      <c r="DQ36" s="64">
        <f t="shared" si="84"/>
        <v>0.36676376069259431</v>
      </c>
      <c r="DR36" s="64">
        <f t="shared" si="85"/>
        <v>0.3903078876723044</v>
      </c>
      <c r="DS36" s="64">
        <f t="shared" si="32"/>
        <v>0.41385201465201454</v>
      </c>
      <c r="DT36" s="64">
        <f t="shared" si="33"/>
        <v>0.49869201465201451</v>
      </c>
      <c r="DU36" s="64">
        <f t="shared" si="34"/>
        <v>0.71124675917756208</v>
      </c>
      <c r="DV36" s="64">
        <f t="shared" si="35"/>
        <v>0.80170904628218498</v>
      </c>
      <c r="DW36" s="64">
        <f t="shared" si="36"/>
        <v>0.8453586813186813</v>
      </c>
      <c r="DX36" s="64">
        <f t="shared" si="37"/>
        <v>0.90000153846153841</v>
      </c>
      <c r="DY36" s="64">
        <f t="shared" si="38"/>
        <v>0.91903999999999997</v>
      </c>
      <c r="DZ36" s="64">
        <f t="shared" si="39"/>
        <v>0.92503999999999997</v>
      </c>
      <c r="EA36" s="3">
        <f t="shared" si="86"/>
        <v>0.95</v>
      </c>
      <c r="EB36">
        <v>2046</v>
      </c>
      <c r="EC36" s="269">
        <f t="shared" si="87"/>
        <v>0.17625607818824651</v>
      </c>
      <c r="ED36" s="269">
        <f t="shared" si="88"/>
        <v>0.05</v>
      </c>
      <c r="EE36" s="64">
        <f t="shared" si="89"/>
        <v>4.7626920626086922E-2</v>
      </c>
      <c r="EF36" s="64">
        <f t="shared" si="90"/>
        <v>4.7626920626087033E-2</v>
      </c>
      <c r="EG36" s="64">
        <f t="shared" si="91"/>
        <v>4.7626920626086922E-2</v>
      </c>
      <c r="EH36" s="64">
        <f t="shared" si="92"/>
        <v>4.7626920626086977E-2</v>
      </c>
      <c r="EI36" s="64">
        <f t="shared" si="93"/>
        <v>2.3544126979710089E-2</v>
      </c>
      <c r="EJ36" s="64">
        <f t="shared" si="94"/>
        <v>2.3544126979710145E-2</v>
      </c>
      <c r="EK36" s="64">
        <f t="shared" si="95"/>
        <v>8.4839999999999971E-2</v>
      </c>
      <c r="EL36" s="64">
        <f t="shared" si="96"/>
        <v>0.21255474452554757</v>
      </c>
      <c r="EM36" s="64">
        <f t="shared" si="97"/>
        <v>9.0462287104622896E-2</v>
      </c>
      <c r="EN36" s="64">
        <f t="shared" si="98"/>
        <v>4.3649635036496326E-2</v>
      </c>
      <c r="EO36" s="64">
        <f t="shared" si="99"/>
        <v>5.4642857142857104E-2</v>
      </c>
      <c r="EP36" s="64">
        <f t="shared" si="100"/>
        <v>1.903846153846156E-2</v>
      </c>
      <c r="EQ36" s="64">
        <f t="shared" si="101"/>
        <v>6.0000000000000053E-3</v>
      </c>
      <c r="ER36" s="64">
        <f t="shared" si="102"/>
        <v>2.4959999999999982E-2</v>
      </c>
      <c r="EX36" s="89">
        <v>2046</v>
      </c>
      <c r="EY36" s="278">
        <f t="shared" si="103"/>
        <v>1.0366666666666666</v>
      </c>
      <c r="EZ36" s="278"/>
      <c r="FA36" s="278">
        <f t="shared" si="104"/>
        <v>0.26292274485491296</v>
      </c>
      <c r="FB36" s="278">
        <f t="shared" si="41"/>
        <v>0.05</v>
      </c>
      <c r="FC36" s="64">
        <f t="shared" si="42"/>
        <v>0.31085460313043484</v>
      </c>
      <c r="FD36" s="64">
        <f t="shared" si="105"/>
        <v>1.1581333333333367E-2</v>
      </c>
      <c r="FE36" s="64">
        <f t="shared" si="106"/>
        <v>0.21255474452554757</v>
      </c>
      <c r="FF36" s="64">
        <f t="shared" si="107"/>
        <v>9.0462287104622896E-2</v>
      </c>
      <c r="FG36" s="64">
        <f t="shared" si="108"/>
        <v>4.3649635036496326E-2</v>
      </c>
      <c r="FH36" s="64">
        <f t="shared" si="109"/>
        <v>5.4642857142857104E-2</v>
      </c>
      <c r="FI36" s="64">
        <f t="shared" si="110"/>
        <v>1.903846153846156E-2</v>
      </c>
      <c r="FJ36" s="64">
        <f t="shared" si="111"/>
        <v>6.0000000000000053E-3</v>
      </c>
      <c r="FK36" s="280">
        <f t="shared" si="112"/>
        <v>2.4959999999999982E-2</v>
      </c>
      <c r="FL36" s="64"/>
      <c r="FM36" s="89">
        <v>2046</v>
      </c>
      <c r="FN36" s="278">
        <f t="shared" si="113"/>
        <v>1.0366666666666666</v>
      </c>
      <c r="FP36" s="278">
        <f t="shared" si="114"/>
        <v>0.31054966548099994</v>
      </c>
      <c r="FQ36" s="278">
        <f t="shared" si="115"/>
        <v>0.05</v>
      </c>
      <c r="FR36" s="64">
        <f t="shared" si="116"/>
        <v>0.24868368250434791</v>
      </c>
      <c r="FS36" s="64">
        <f t="shared" si="117"/>
        <v>2.6125333333333351E-2</v>
      </c>
      <c r="FT36" s="64">
        <f t="shared" si="118"/>
        <v>0.21255474452554757</v>
      </c>
      <c r="FU36" s="64">
        <f t="shared" si="119"/>
        <v>9.0462287104622896E-2</v>
      </c>
      <c r="FV36" s="64">
        <f t="shared" si="120"/>
        <v>4.3649635036496326E-2</v>
      </c>
      <c r="FW36" s="64">
        <f t="shared" si="121"/>
        <v>5.4642857142857104E-2</v>
      </c>
      <c r="FX36" s="64">
        <f t="shared" si="122"/>
        <v>1.903846153846156E-2</v>
      </c>
      <c r="FY36" s="64">
        <f t="shared" si="123"/>
        <v>6.0000000000000053E-3</v>
      </c>
      <c r="FZ36" s="280">
        <f t="shared" si="124"/>
        <v>2.4959999999999982E-2</v>
      </c>
      <c r="GA36" s="64"/>
      <c r="GB36" s="89">
        <v>2046</v>
      </c>
      <c r="GC36" s="278">
        <f t="shared" si="125"/>
        <v>1.0366666666666666</v>
      </c>
      <c r="GE36" s="278">
        <f t="shared" si="126"/>
        <v>0.35817658610708691</v>
      </c>
      <c r="GF36" s="278">
        <f t="shared" si="127"/>
        <v>0.05</v>
      </c>
      <c r="GG36" s="64">
        <f t="shared" si="128"/>
        <v>0.18651276187826088</v>
      </c>
      <c r="GH36" s="64">
        <f t="shared" si="129"/>
        <v>4.0669333333333335E-2</v>
      </c>
      <c r="GI36" s="64">
        <f t="shared" si="130"/>
        <v>0.21255474452554757</v>
      </c>
      <c r="GJ36" s="64">
        <f t="shared" si="131"/>
        <v>9.0462287104622896E-2</v>
      </c>
      <c r="GK36" s="64">
        <f t="shared" si="132"/>
        <v>4.3649635036496326E-2</v>
      </c>
      <c r="GL36" s="64">
        <f t="shared" si="133"/>
        <v>5.4642857142857104E-2</v>
      </c>
      <c r="GM36" s="64">
        <f t="shared" si="134"/>
        <v>1.903846153846156E-2</v>
      </c>
      <c r="GN36" s="64">
        <f t="shared" si="135"/>
        <v>6.0000000000000053E-3</v>
      </c>
      <c r="GO36" s="280">
        <f t="shared" si="136"/>
        <v>2.4959999999999982E-2</v>
      </c>
      <c r="GP36" s="64"/>
      <c r="GQ36" s="89">
        <v>2046</v>
      </c>
      <c r="GR36" s="278">
        <f t="shared" si="137"/>
        <v>1.0366666666666666</v>
      </c>
      <c r="GT36" s="278">
        <f t="shared" si="138"/>
        <v>0.40580350673317389</v>
      </c>
      <c r="GU36" s="278">
        <f t="shared" si="139"/>
        <v>0.05</v>
      </c>
      <c r="GV36" s="64">
        <f t="shared" si="140"/>
        <v>0.12434184125217396</v>
      </c>
      <c r="GW36" s="64">
        <f t="shared" si="141"/>
        <v>5.5213333333333323E-2</v>
      </c>
      <c r="GX36" s="64">
        <f t="shared" si="43"/>
        <v>0.21255474452554757</v>
      </c>
      <c r="GY36" s="64">
        <f t="shared" si="44"/>
        <v>9.0462287104622896E-2</v>
      </c>
      <c r="GZ36" s="64">
        <f t="shared" si="45"/>
        <v>4.3649635036496326E-2</v>
      </c>
      <c r="HA36" s="64">
        <f t="shared" si="46"/>
        <v>5.4642857142857104E-2</v>
      </c>
      <c r="HB36" s="64">
        <f t="shared" si="47"/>
        <v>1.903846153846156E-2</v>
      </c>
      <c r="HC36" s="64">
        <f t="shared" si="48"/>
        <v>6.0000000000000053E-3</v>
      </c>
      <c r="HD36" s="280">
        <f t="shared" si="49"/>
        <v>2.4959999999999982E-2</v>
      </c>
      <c r="HE36" s="64"/>
      <c r="HF36" s="89">
        <v>2046</v>
      </c>
      <c r="HG36" s="278">
        <f t="shared" si="142"/>
        <v>1.0366666666666666</v>
      </c>
      <c r="HI36" s="278">
        <f t="shared" si="143"/>
        <v>0.45343042735926098</v>
      </c>
      <c r="HJ36" s="278">
        <f t="shared" si="144"/>
        <v>0.05</v>
      </c>
      <c r="HK36" s="64">
        <f t="shared" si="145"/>
        <v>6.2170920626086958E-2</v>
      </c>
      <c r="HL36" s="64">
        <f t="shared" si="146"/>
        <v>6.975733333333331E-2</v>
      </c>
      <c r="HM36" s="64">
        <f t="shared" si="147"/>
        <v>0.21255474452554757</v>
      </c>
      <c r="HN36" s="64">
        <f t="shared" si="148"/>
        <v>9.0462287104622896E-2</v>
      </c>
      <c r="HO36" s="64">
        <f t="shared" si="149"/>
        <v>4.3649635036496326E-2</v>
      </c>
      <c r="HP36" s="64">
        <f t="shared" si="150"/>
        <v>5.4642857142857104E-2</v>
      </c>
      <c r="HQ36" s="64">
        <f t="shared" si="151"/>
        <v>1.903846153846156E-2</v>
      </c>
      <c r="HR36" s="64">
        <f t="shared" si="152"/>
        <v>6.0000000000000053E-3</v>
      </c>
      <c r="HS36" s="280">
        <f t="shared" si="153"/>
        <v>2.4959999999999982E-2</v>
      </c>
      <c r="HT36" s="64"/>
      <c r="HU36" s="89">
        <v>2046</v>
      </c>
      <c r="HV36" s="278">
        <f t="shared" si="154"/>
        <v>1.0366666666666666</v>
      </c>
      <c r="HX36" s="278">
        <f t="shared" si="155"/>
        <v>0.47697455433897107</v>
      </c>
      <c r="HY36" s="278">
        <f t="shared" si="156"/>
        <v>0.05</v>
      </c>
      <c r="HZ36" s="64">
        <f t="shared" si="157"/>
        <v>3.1085460313043461E-2</v>
      </c>
      <c r="IA36" s="64">
        <f t="shared" si="158"/>
        <v>7.7298666666666641E-2</v>
      </c>
      <c r="IB36" s="64">
        <f t="shared" si="159"/>
        <v>0.21255474452554757</v>
      </c>
      <c r="IC36" s="64">
        <f t="shared" si="160"/>
        <v>9.0462287104622896E-2</v>
      </c>
      <c r="ID36" s="64">
        <f t="shared" si="161"/>
        <v>4.3649635036496326E-2</v>
      </c>
      <c r="IE36" s="64">
        <f t="shared" si="162"/>
        <v>5.4642857142857104E-2</v>
      </c>
      <c r="IF36" s="64">
        <f t="shared" si="163"/>
        <v>1.903846153846156E-2</v>
      </c>
      <c r="IG36" s="64">
        <f t="shared" si="164"/>
        <v>6.0000000000000053E-3</v>
      </c>
      <c r="IH36" s="280">
        <f t="shared" si="165"/>
        <v>2.4959999999999982E-2</v>
      </c>
      <c r="II36" s="64"/>
      <c r="IJ36" s="89">
        <v>2046</v>
      </c>
      <c r="IK36" s="278">
        <f t="shared" si="166"/>
        <v>1.0366666666666666</v>
      </c>
      <c r="IM36" s="278">
        <f t="shared" si="167"/>
        <v>0.50051868131868116</v>
      </c>
      <c r="IN36" s="278">
        <f t="shared" si="168"/>
        <v>0.05</v>
      </c>
      <c r="IO36" s="64">
        <v>0</v>
      </c>
      <c r="IP36" s="64">
        <f t="shared" si="169"/>
        <v>8.4839999999999971E-2</v>
      </c>
      <c r="IQ36" s="64">
        <f t="shared" si="50"/>
        <v>0.21255474452554757</v>
      </c>
      <c r="IR36" s="64">
        <f t="shared" si="51"/>
        <v>9.0462287104622896E-2</v>
      </c>
      <c r="IS36" s="64">
        <f t="shared" si="52"/>
        <v>4.3649635036496326E-2</v>
      </c>
      <c r="IT36" s="64">
        <f t="shared" si="53"/>
        <v>5.4642857142857104E-2</v>
      </c>
      <c r="IU36" s="64">
        <f t="shared" si="54"/>
        <v>1.903846153846156E-2</v>
      </c>
      <c r="IV36" s="64">
        <f t="shared" si="55"/>
        <v>6.0000000000000053E-3</v>
      </c>
      <c r="IW36" s="280">
        <f t="shared" si="56"/>
        <v>2.4959999999999982E-2</v>
      </c>
      <c r="IX36" s="3">
        <f t="shared" si="170"/>
        <v>0.18102339181286631</v>
      </c>
      <c r="IY36">
        <f t="shared" si="57"/>
        <v>2046</v>
      </c>
      <c r="IZ36" s="3">
        <f t="shared" si="171"/>
        <v>19.490191978021979</v>
      </c>
      <c r="JA36" s="353">
        <f>HLOOKUP(JA$3,'Main calculations'!JG$8:JS$39,29,FALSE)</f>
        <v>18.453637810579959</v>
      </c>
      <c r="JB36" s="3">
        <f t="shared" si="172"/>
        <v>26.819999999999997</v>
      </c>
      <c r="JC36" s="353">
        <f t="shared" si="173"/>
        <v>28.231578947368419</v>
      </c>
      <c r="JD36" s="368">
        <f t="shared" si="174"/>
        <v>15.414210526315788</v>
      </c>
      <c r="JE36" s="369">
        <f t="shared" si="175"/>
        <v>16.225484764542937</v>
      </c>
      <c r="JF36" s="363">
        <f t="shared" si="176"/>
        <v>17.039463572224872</v>
      </c>
      <c r="JG36" s="362">
        <f t="shared" si="58"/>
        <v>17.936277444447235</v>
      </c>
      <c r="JH36" s="366">
        <f t="shared" si="59"/>
        <v>17.53095592005096</v>
      </c>
      <c r="JI36" s="367">
        <f t="shared" si="9"/>
        <v>18.453637810579959</v>
      </c>
      <c r="JJ36" s="363">
        <f t="shared" si="60"/>
        <v>18.022448267877053</v>
      </c>
      <c r="JK36" s="362">
        <f t="shared" si="61"/>
        <v>18.970998176712687</v>
      </c>
      <c r="JL36" s="366">
        <f t="shared" si="177"/>
        <v>18.513940615703138</v>
      </c>
      <c r="JM36" s="367">
        <f t="shared" si="62"/>
        <v>19.488358542845411</v>
      </c>
      <c r="JN36" s="363">
        <f t="shared" si="178"/>
        <v>19.005432963529227</v>
      </c>
      <c r="JO36" s="362">
        <f t="shared" si="63"/>
        <v>20.005718908978135</v>
      </c>
      <c r="JP36" s="366">
        <f t="shared" si="179"/>
        <v>19.2478124707756</v>
      </c>
      <c r="JQ36" s="367">
        <f t="shared" si="64"/>
        <v>20.260855232395368</v>
      </c>
      <c r="JR36" s="363">
        <f t="shared" si="180"/>
        <v>19.490191978021979</v>
      </c>
      <c r="JS36" s="362">
        <f t="shared" si="65"/>
        <v>20.515991555812612</v>
      </c>
    </row>
    <row r="37" spans="1:281">
      <c r="A37" s="689" t="s">
        <v>114</v>
      </c>
      <c r="B37" s="689"/>
      <c r="C37" s="689"/>
      <c r="D37" s="689"/>
      <c r="E37" s="689"/>
      <c r="F37" s="689"/>
      <c r="G37" s="235">
        <v>0</v>
      </c>
      <c r="H37" s="64">
        <f>$A78*(1-H$3-H$16-H$19-H$22-H$25-H$31-H$32-H$33)</f>
        <v>0</v>
      </c>
      <c r="I37" s="64">
        <f>$A78*(1-I$3-I$16-I$19-I$22-I$25-I$31-I$32-I$33)</f>
        <v>0</v>
      </c>
      <c r="J37" s="64">
        <f>$A78*(1-J$3-J$16-J$19-J$22-J$25-J$31-J$32-J$33)</f>
        <v>0</v>
      </c>
      <c r="K37" s="64"/>
      <c r="M37" s="235">
        <v>0</v>
      </c>
      <c r="N37" s="235"/>
      <c r="O37" s="64">
        <f>$A101*(1-H$3-H$16-H$19-H$22-H$25-H$31-H$32-H$33)</f>
        <v>0</v>
      </c>
      <c r="P37" s="64">
        <f>$A101*(1-I$3-I$16-I$19-I$22-I$25-I$31-I$32-I$33)</f>
        <v>0</v>
      </c>
      <c r="Q37" s="64">
        <f>$A101*(1-J$3-J$16-J$19-J$22-J$25-J$31-J$32-J$33)</f>
        <v>0</v>
      </c>
      <c r="AO37" s="89">
        <v>2047</v>
      </c>
      <c r="AP37" s="170">
        <f t="shared" si="181"/>
        <v>-2.5919999999999995E-2</v>
      </c>
      <c r="AQ37" s="170">
        <f t="shared" si="182"/>
        <v>-6.2500000000000038E-3</v>
      </c>
      <c r="AR37" s="170">
        <f t="shared" si="183"/>
        <v>-1.990384615384615E-2</v>
      </c>
      <c r="AS37" s="170">
        <f t="shared" si="184"/>
        <v>-5.7857142857142843E-2</v>
      </c>
      <c r="AU37" s="170">
        <f t="shared" si="185"/>
        <v>-4.532846715328466E-2</v>
      </c>
      <c r="AV37" s="170">
        <f t="shared" si="186"/>
        <v>-9.3941605839416117E-2</v>
      </c>
      <c r="AW37" s="170">
        <f t="shared" si="187"/>
        <v>-0.22072992700729938</v>
      </c>
      <c r="AY37" s="170">
        <f t="shared" si="188"/>
        <v>-8.4839999999999971E-2</v>
      </c>
      <c r="AZ37" s="278">
        <f t="shared" si="189"/>
        <v>7.8555555555555497E-3</v>
      </c>
      <c r="BA37" s="284">
        <f t="shared" si="190"/>
        <v>-3.6898465252173891E-2</v>
      </c>
      <c r="BB37" s="276">
        <f t="shared" si="191"/>
        <v>-3.4638169565217376E-2</v>
      </c>
      <c r="BC37" s="277">
        <f t="shared" si="192"/>
        <v>-3.2945058260869547E-2</v>
      </c>
      <c r="BD37" s="278">
        <f t="shared" si="193"/>
        <v>7.8555555555555497E-3</v>
      </c>
      <c r="BE37" s="284">
        <f t="shared" si="194"/>
        <v>-3.6898465252173933E-2</v>
      </c>
      <c r="BF37" s="276">
        <f t="shared" si="195"/>
        <v>-3.4638169565217376E-2</v>
      </c>
      <c r="BG37" s="277">
        <f t="shared" si="196"/>
        <v>-3.2945058260869589E-2</v>
      </c>
      <c r="BH37" s="278">
        <f t="shared" si="197"/>
        <v>1.5149999999999983E-2</v>
      </c>
      <c r="BI37" s="284">
        <f t="shared" si="198"/>
        <v>-7.3796930504347852E-2</v>
      </c>
      <c r="BJ37" s="276">
        <f t="shared" si="199"/>
        <v>-6.9276339130434864E-2</v>
      </c>
      <c r="BK37" s="277">
        <f t="shared" si="200"/>
        <v>-6.5890116521739178E-2</v>
      </c>
      <c r="BL37" s="278">
        <f t="shared" si="201"/>
        <v>1.5149999999999983E-2</v>
      </c>
      <c r="BM37" s="284">
        <f t="shared" si="202"/>
        <v>-7.379693050434781E-2</v>
      </c>
      <c r="BN37" s="276">
        <f t="shared" si="203"/>
        <v>-6.9276339130434711E-2</v>
      </c>
      <c r="BO37" s="277">
        <f t="shared" si="204"/>
        <v>-6.5890116521739109E-2</v>
      </c>
      <c r="BP37" s="278">
        <f t="shared" si="205"/>
        <v>1.5149999999999983E-2</v>
      </c>
      <c r="BQ37" s="284">
        <f t="shared" si="206"/>
        <v>-7.3796930504347866E-2</v>
      </c>
      <c r="BR37" s="276">
        <f t="shared" si="207"/>
        <v>-6.9276339130434864E-2</v>
      </c>
      <c r="BS37" s="277">
        <f t="shared" si="208"/>
        <v>-6.5890116521739206E-2</v>
      </c>
      <c r="BT37" s="278">
        <f t="shared" si="209"/>
        <v>1.5149999999999983E-2</v>
      </c>
      <c r="BU37" s="284">
        <f t="shared" si="210"/>
        <v>-7.379693050434781E-2</v>
      </c>
      <c r="BV37" s="276">
        <f t="shared" si="211"/>
        <v>-6.9276339130434753E-2</v>
      </c>
      <c r="BW37" s="278">
        <f t="shared" si="212"/>
        <v>-6.5890116521739095E-2</v>
      </c>
      <c r="BX37" s="391">
        <f t="shared" si="66"/>
        <v>-2.367888888888893E-2</v>
      </c>
      <c r="BY37" s="392">
        <f t="shared" si="67"/>
        <v>-0.2635604660869566</v>
      </c>
      <c r="BZ37" s="278"/>
      <c r="CB37" s="279">
        <f t="shared" si="213"/>
        <v>-0.55477098901098909</v>
      </c>
      <c r="CC37" s="64">
        <f t="shared" si="214"/>
        <v>-0.57986049171630316</v>
      </c>
      <c r="CD37" s="64">
        <f t="shared" si="215"/>
        <v>-0.60494999442161723</v>
      </c>
      <c r="CE37" s="64">
        <f t="shared" si="216"/>
        <v>-0.65569011094335639</v>
      </c>
      <c r="CF37" s="64">
        <f t="shared" si="217"/>
        <v>-0.70643022746509554</v>
      </c>
      <c r="CG37" s="64">
        <f t="shared" si="218"/>
        <v>-0.75717034398683469</v>
      </c>
      <c r="CH37" s="64">
        <f t="shared" si="219"/>
        <v>-0.80791046050857385</v>
      </c>
      <c r="CI37">
        <v>2047</v>
      </c>
      <c r="CJ37" s="240"/>
      <c r="CL37">
        <v>2047</v>
      </c>
      <c r="CM37" s="3">
        <f t="shared" si="68"/>
        <v>0.95</v>
      </c>
      <c r="CN37" s="64">
        <f t="shared" si="23"/>
        <v>0.92408000000000001</v>
      </c>
      <c r="CO37" s="64">
        <f t="shared" si="24"/>
        <v>0.91783000000000003</v>
      </c>
      <c r="CP37" s="64">
        <f t="shared" si="25"/>
        <v>0.89792615384615393</v>
      </c>
      <c r="CQ37" s="64">
        <f t="shared" si="26"/>
        <v>0.8400690109890111</v>
      </c>
      <c r="CR37" s="64">
        <f t="shared" si="27"/>
        <v>0.79474054383572645</v>
      </c>
      <c r="CS37" s="64">
        <f t="shared" si="28"/>
        <v>0.70079893799631032</v>
      </c>
      <c r="CT37" s="64">
        <f t="shared" si="29"/>
        <v>0.48006901098901095</v>
      </c>
      <c r="CU37" s="64">
        <f t="shared" si="30"/>
        <v>0.39522901098901098</v>
      </c>
      <c r="CV37" s="64">
        <f t="shared" si="31"/>
        <v>0.40308456654456654</v>
      </c>
      <c r="CW37" s="65">
        <f t="shared" si="69"/>
        <v>0.37013950828369702</v>
      </c>
      <c r="CX37" s="64">
        <f t="shared" si="70"/>
        <v>0.4109401221001221</v>
      </c>
      <c r="CY37" s="65">
        <f t="shared" si="71"/>
        <v>0.34505000557838295</v>
      </c>
      <c r="CZ37" s="64">
        <f t="shared" si="72"/>
        <v>0.42609012210012209</v>
      </c>
      <c r="DA37" s="65">
        <f t="shared" si="73"/>
        <v>0.29430988905664379</v>
      </c>
      <c r="DB37" s="64">
        <f t="shared" si="74"/>
        <v>0.44124012210012209</v>
      </c>
      <c r="DC37" s="65">
        <f t="shared" si="75"/>
        <v>0.24356977253490469</v>
      </c>
      <c r="DD37" s="64">
        <f t="shared" si="76"/>
        <v>0.45639012210012209</v>
      </c>
      <c r="DE37" s="65">
        <f t="shared" si="77"/>
        <v>0.19282965601316548</v>
      </c>
      <c r="DF37" s="64">
        <f t="shared" si="78"/>
        <v>0.47154012210012208</v>
      </c>
      <c r="DG37" s="65">
        <f t="shared" si="79"/>
        <v>0.14208953949142639</v>
      </c>
      <c r="DL37">
        <v>2047</v>
      </c>
      <c r="DM37" s="64">
        <f t="shared" si="80"/>
        <v>0.14208953949142639</v>
      </c>
      <c r="DN37" s="64">
        <f t="shared" si="81"/>
        <v>0.19282965601316548</v>
      </c>
      <c r="DO37" s="64">
        <f t="shared" si="82"/>
        <v>0.24356977253490469</v>
      </c>
      <c r="DP37" s="64">
        <f t="shared" si="83"/>
        <v>0.29430988905664379</v>
      </c>
      <c r="DQ37" s="64">
        <f t="shared" si="84"/>
        <v>0.34505000557838295</v>
      </c>
      <c r="DR37" s="64">
        <f t="shared" si="85"/>
        <v>0.37013950828369702</v>
      </c>
      <c r="DS37" s="64">
        <f t="shared" si="32"/>
        <v>0.39522901098901098</v>
      </c>
      <c r="DT37" s="64">
        <f t="shared" si="33"/>
        <v>0.48006901098901095</v>
      </c>
      <c r="DU37" s="64">
        <f t="shared" si="34"/>
        <v>0.70079893799631032</v>
      </c>
      <c r="DV37" s="64">
        <f t="shared" si="35"/>
        <v>0.79474054383572645</v>
      </c>
      <c r="DW37" s="64">
        <f t="shared" si="36"/>
        <v>0.8400690109890111</v>
      </c>
      <c r="DX37" s="64">
        <f t="shared" si="37"/>
        <v>0.89792615384615393</v>
      </c>
      <c r="DY37" s="64">
        <f t="shared" si="38"/>
        <v>0.91783000000000003</v>
      </c>
      <c r="DZ37" s="64">
        <f t="shared" si="39"/>
        <v>0.92408000000000001</v>
      </c>
      <c r="EA37" s="3">
        <f t="shared" si="86"/>
        <v>0.95</v>
      </c>
      <c r="EB37">
        <v>2047</v>
      </c>
      <c r="EC37" s="269">
        <f t="shared" si="87"/>
        <v>0.14208953949142644</v>
      </c>
      <c r="ED37" s="269">
        <f t="shared" si="88"/>
        <v>0.05</v>
      </c>
      <c r="EE37" s="64">
        <f t="shared" si="89"/>
        <v>5.0740116521739098E-2</v>
      </c>
      <c r="EF37" s="64">
        <f t="shared" si="90"/>
        <v>5.0740116521739209E-2</v>
      </c>
      <c r="EG37" s="64">
        <f t="shared" si="91"/>
        <v>5.0740116521739098E-2</v>
      </c>
      <c r="EH37" s="64">
        <f t="shared" si="92"/>
        <v>5.0740116521739154E-2</v>
      </c>
      <c r="EI37" s="64">
        <f t="shared" si="93"/>
        <v>2.5089502705314071E-2</v>
      </c>
      <c r="EJ37" s="64">
        <f t="shared" si="94"/>
        <v>2.508950270531396E-2</v>
      </c>
      <c r="EK37" s="64">
        <f t="shared" si="95"/>
        <v>8.4839999999999971E-2</v>
      </c>
      <c r="EL37" s="64">
        <f t="shared" si="96"/>
        <v>0.22072992700729938</v>
      </c>
      <c r="EM37" s="64">
        <f t="shared" si="97"/>
        <v>9.3941605839416131E-2</v>
      </c>
      <c r="EN37" s="64">
        <f t="shared" si="98"/>
        <v>4.5328467153284646E-2</v>
      </c>
      <c r="EO37" s="64">
        <f t="shared" si="99"/>
        <v>5.7857142857142829E-2</v>
      </c>
      <c r="EP37" s="64">
        <f t="shared" si="100"/>
        <v>1.9903846153846105E-2</v>
      </c>
      <c r="EQ37" s="64">
        <f t="shared" si="101"/>
        <v>6.2499999999999778E-3</v>
      </c>
      <c r="ER37" s="64">
        <f t="shared" si="102"/>
        <v>2.5919999999999943E-2</v>
      </c>
      <c r="EX37" s="89">
        <v>2047</v>
      </c>
      <c r="EY37" s="278">
        <f t="shared" si="103"/>
        <v>1.04</v>
      </c>
      <c r="EZ37" s="278"/>
      <c r="FA37" s="278">
        <f t="shared" si="104"/>
        <v>0.2320895394914263</v>
      </c>
      <c r="FB37" s="278">
        <f t="shared" si="41"/>
        <v>0.05</v>
      </c>
      <c r="FC37" s="64">
        <f t="shared" si="42"/>
        <v>0.3294505826086957</v>
      </c>
      <c r="FD37" s="64">
        <f t="shared" si="105"/>
        <v>8.5288888888889469E-3</v>
      </c>
      <c r="FE37" s="64">
        <f t="shared" si="106"/>
        <v>0.22072992700729938</v>
      </c>
      <c r="FF37" s="64">
        <f t="shared" si="107"/>
        <v>9.3941605839416131E-2</v>
      </c>
      <c r="FG37" s="64">
        <f t="shared" si="108"/>
        <v>4.5328467153284646E-2</v>
      </c>
      <c r="FH37" s="64">
        <f t="shared" si="109"/>
        <v>5.7857142857142829E-2</v>
      </c>
      <c r="FI37" s="64">
        <f t="shared" si="110"/>
        <v>1.9903846153846105E-2</v>
      </c>
      <c r="FJ37" s="64">
        <f t="shared" si="111"/>
        <v>6.2499999999999778E-3</v>
      </c>
      <c r="FK37" s="280">
        <f t="shared" si="112"/>
        <v>2.5919999999999943E-2</v>
      </c>
      <c r="FL37" s="64"/>
      <c r="FM37" s="89">
        <v>2047</v>
      </c>
      <c r="FN37" s="278">
        <f t="shared" si="113"/>
        <v>1.04</v>
      </c>
      <c r="FP37" s="278">
        <f t="shared" si="114"/>
        <v>0.28282965601316545</v>
      </c>
      <c r="FQ37" s="278">
        <f t="shared" si="115"/>
        <v>0.05</v>
      </c>
      <c r="FR37" s="64">
        <f t="shared" si="116"/>
        <v>0.2635604660869566</v>
      </c>
      <c r="FS37" s="64">
        <f t="shared" si="117"/>
        <v>2.367888888888893E-2</v>
      </c>
      <c r="FT37" s="64">
        <f t="shared" si="118"/>
        <v>0.22072992700729938</v>
      </c>
      <c r="FU37" s="64">
        <f t="shared" si="119"/>
        <v>9.3941605839416131E-2</v>
      </c>
      <c r="FV37" s="64">
        <f t="shared" si="120"/>
        <v>4.5328467153284646E-2</v>
      </c>
      <c r="FW37" s="64">
        <f t="shared" si="121"/>
        <v>5.7857142857142829E-2</v>
      </c>
      <c r="FX37" s="64">
        <f t="shared" si="122"/>
        <v>1.9903846153846105E-2</v>
      </c>
      <c r="FY37" s="64">
        <f t="shared" si="123"/>
        <v>6.2499999999999778E-3</v>
      </c>
      <c r="FZ37" s="280">
        <f t="shared" si="124"/>
        <v>2.5919999999999943E-2</v>
      </c>
      <c r="GA37" s="64"/>
      <c r="GB37" s="89">
        <v>2047</v>
      </c>
      <c r="GC37" s="278">
        <f t="shared" si="125"/>
        <v>1.04</v>
      </c>
      <c r="GE37" s="278">
        <f t="shared" si="126"/>
        <v>0.33356977253490472</v>
      </c>
      <c r="GF37" s="278">
        <f t="shared" si="127"/>
        <v>0.05</v>
      </c>
      <c r="GG37" s="64">
        <f t="shared" si="128"/>
        <v>0.1976703495652174</v>
      </c>
      <c r="GH37" s="64">
        <f t="shared" si="129"/>
        <v>3.8828888888888913E-2</v>
      </c>
      <c r="GI37" s="64">
        <f t="shared" si="130"/>
        <v>0.22072992700729938</v>
      </c>
      <c r="GJ37" s="64">
        <f t="shared" si="131"/>
        <v>9.3941605839416131E-2</v>
      </c>
      <c r="GK37" s="64">
        <f t="shared" si="132"/>
        <v>4.5328467153284646E-2</v>
      </c>
      <c r="GL37" s="64">
        <f t="shared" si="133"/>
        <v>5.7857142857142829E-2</v>
      </c>
      <c r="GM37" s="64">
        <f t="shared" si="134"/>
        <v>1.9903846153846105E-2</v>
      </c>
      <c r="GN37" s="64">
        <f t="shared" si="135"/>
        <v>6.2499999999999778E-3</v>
      </c>
      <c r="GO37" s="280">
        <f t="shared" si="136"/>
        <v>2.5919999999999943E-2</v>
      </c>
      <c r="GP37" s="64"/>
      <c r="GQ37" s="89">
        <v>2047</v>
      </c>
      <c r="GR37" s="278">
        <f t="shared" si="137"/>
        <v>1.04</v>
      </c>
      <c r="GT37" s="278">
        <f t="shared" si="138"/>
        <v>0.38430988905664387</v>
      </c>
      <c r="GU37" s="278">
        <f t="shared" si="139"/>
        <v>0.05</v>
      </c>
      <c r="GV37" s="64">
        <f t="shared" si="140"/>
        <v>0.1317802330434783</v>
      </c>
      <c r="GW37" s="64">
        <f t="shared" si="141"/>
        <v>5.3978888888888896E-2</v>
      </c>
      <c r="GX37" s="64">
        <f t="shared" si="43"/>
        <v>0.22072992700729938</v>
      </c>
      <c r="GY37" s="64">
        <f t="shared" si="44"/>
        <v>9.3941605839416131E-2</v>
      </c>
      <c r="GZ37" s="64">
        <f t="shared" si="45"/>
        <v>4.5328467153284646E-2</v>
      </c>
      <c r="HA37" s="64">
        <f t="shared" si="46"/>
        <v>5.7857142857142829E-2</v>
      </c>
      <c r="HB37" s="64">
        <f t="shared" si="47"/>
        <v>1.9903846153846105E-2</v>
      </c>
      <c r="HC37" s="64">
        <f t="shared" si="48"/>
        <v>6.2499999999999778E-3</v>
      </c>
      <c r="HD37" s="280">
        <f t="shared" si="49"/>
        <v>2.5919999999999943E-2</v>
      </c>
      <c r="HE37" s="64"/>
      <c r="HF37" s="89">
        <v>2047</v>
      </c>
      <c r="HG37" s="278">
        <f t="shared" si="142"/>
        <v>1.04</v>
      </c>
      <c r="HI37" s="278">
        <f t="shared" si="143"/>
        <v>0.43505000557838303</v>
      </c>
      <c r="HJ37" s="278">
        <f t="shared" si="144"/>
        <v>0.05</v>
      </c>
      <c r="HK37" s="64">
        <f t="shared" si="145"/>
        <v>6.5890116521739137E-2</v>
      </c>
      <c r="HL37" s="64">
        <f t="shared" si="146"/>
        <v>6.9128888888888879E-2</v>
      </c>
      <c r="HM37" s="64">
        <f t="shared" si="147"/>
        <v>0.22072992700729938</v>
      </c>
      <c r="HN37" s="64">
        <f t="shared" si="148"/>
        <v>9.3941605839416131E-2</v>
      </c>
      <c r="HO37" s="64">
        <f t="shared" si="149"/>
        <v>4.5328467153284646E-2</v>
      </c>
      <c r="HP37" s="64">
        <f t="shared" si="150"/>
        <v>5.7857142857142829E-2</v>
      </c>
      <c r="HQ37" s="64">
        <f t="shared" si="151"/>
        <v>1.9903846153846105E-2</v>
      </c>
      <c r="HR37" s="64">
        <f t="shared" si="152"/>
        <v>6.2499999999999778E-3</v>
      </c>
      <c r="HS37" s="280">
        <f t="shared" si="153"/>
        <v>2.5919999999999943E-2</v>
      </c>
      <c r="HT37" s="64"/>
      <c r="HU37" s="89">
        <v>2047</v>
      </c>
      <c r="HV37" s="278">
        <f t="shared" si="154"/>
        <v>1.04</v>
      </c>
      <c r="HX37" s="278">
        <f t="shared" si="155"/>
        <v>0.4601395082836971</v>
      </c>
      <c r="HY37" s="278">
        <f t="shared" si="156"/>
        <v>0.05</v>
      </c>
      <c r="HZ37" s="64">
        <f t="shared" si="157"/>
        <v>3.2945058260869547E-2</v>
      </c>
      <c r="IA37" s="64">
        <f t="shared" si="158"/>
        <v>7.6984444444444425E-2</v>
      </c>
      <c r="IB37" s="64">
        <f t="shared" si="159"/>
        <v>0.22072992700729938</v>
      </c>
      <c r="IC37" s="64">
        <f t="shared" si="160"/>
        <v>9.3941605839416131E-2</v>
      </c>
      <c r="ID37" s="64">
        <f t="shared" si="161"/>
        <v>4.5328467153284646E-2</v>
      </c>
      <c r="IE37" s="64">
        <f t="shared" si="162"/>
        <v>5.7857142857142829E-2</v>
      </c>
      <c r="IF37" s="64">
        <f t="shared" si="163"/>
        <v>1.9903846153846105E-2</v>
      </c>
      <c r="IG37" s="64">
        <f t="shared" si="164"/>
        <v>6.2499999999999778E-3</v>
      </c>
      <c r="IH37" s="280">
        <f t="shared" si="165"/>
        <v>2.5919999999999943E-2</v>
      </c>
      <c r="II37" s="64"/>
      <c r="IJ37" s="89">
        <v>2047</v>
      </c>
      <c r="IK37" s="278">
        <f t="shared" si="166"/>
        <v>1.04</v>
      </c>
      <c r="IM37" s="278">
        <f t="shared" si="167"/>
        <v>0.48522901098901106</v>
      </c>
      <c r="IN37" s="278">
        <f t="shared" si="168"/>
        <v>0.05</v>
      </c>
      <c r="IO37" s="64">
        <v>0</v>
      </c>
      <c r="IP37" s="64">
        <f t="shared" si="169"/>
        <v>8.4839999999999971E-2</v>
      </c>
      <c r="IQ37" s="64">
        <f t="shared" si="50"/>
        <v>0.22072992700729938</v>
      </c>
      <c r="IR37" s="64">
        <f t="shared" si="51"/>
        <v>9.3941605839416131E-2</v>
      </c>
      <c r="IS37" s="64">
        <f t="shared" si="52"/>
        <v>4.5328467153284646E-2</v>
      </c>
      <c r="IT37" s="64">
        <f t="shared" si="53"/>
        <v>5.7857142857142829E-2</v>
      </c>
      <c r="IU37" s="64">
        <f t="shared" si="54"/>
        <v>1.9903846153846105E-2</v>
      </c>
      <c r="IV37" s="64">
        <f t="shared" si="55"/>
        <v>6.2499999999999778E-3</v>
      </c>
      <c r="IW37" s="280">
        <f t="shared" si="56"/>
        <v>2.5919999999999943E-2</v>
      </c>
      <c r="IX37" s="3">
        <f t="shared" si="170"/>
        <v>0.15010526315789541</v>
      </c>
      <c r="IY37">
        <f t="shared" si="57"/>
        <v>2047</v>
      </c>
      <c r="IZ37" s="3">
        <f t="shared" si="171"/>
        <v>19.975420989010992</v>
      </c>
      <c r="JA37" s="353">
        <f>HLOOKUP(JA$3,'Main calculations'!JG$8:JS$39,30,FALSE)</f>
        <v>18.751353237962242</v>
      </c>
      <c r="JB37" s="3">
        <f t="shared" si="172"/>
        <v>27.859999999999996</v>
      </c>
      <c r="JC37" s="353">
        <f t="shared" si="173"/>
        <v>29.326315789473682</v>
      </c>
      <c r="JD37" s="368">
        <f t="shared" si="174"/>
        <v>15.564315789473683</v>
      </c>
      <c r="JE37" s="369">
        <f t="shared" si="175"/>
        <v>16.383490304709142</v>
      </c>
      <c r="JF37" s="363">
        <f t="shared" si="176"/>
        <v>17.271553111716297</v>
      </c>
      <c r="JG37" s="362">
        <f t="shared" si="58"/>
        <v>18.180582222859261</v>
      </c>
      <c r="JH37" s="366">
        <f t="shared" si="59"/>
        <v>17.813785576064127</v>
      </c>
      <c r="JI37" s="367">
        <f t="shared" si="9"/>
        <v>18.751353237962242</v>
      </c>
      <c r="JJ37" s="363">
        <f t="shared" si="60"/>
        <v>18.356018040411957</v>
      </c>
      <c r="JK37" s="362">
        <f t="shared" si="61"/>
        <v>19.322124253065219</v>
      </c>
      <c r="JL37" s="366">
        <f t="shared" si="177"/>
        <v>18.898250504759783</v>
      </c>
      <c r="JM37" s="367">
        <f t="shared" si="62"/>
        <v>19.892895268168193</v>
      </c>
      <c r="JN37" s="363">
        <f t="shared" si="178"/>
        <v>19.44048296910761</v>
      </c>
      <c r="JO37" s="362">
        <f t="shared" si="63"/>
        <v>20.46366628327117</v>
      </c>
      <c r="JP37" s="366">
        <f t="shared" si="179"/>
        <v>19.707951979059295</v>
      </c>
      <c r="JQ37" s="367">
        <f t="shared" si="64"/>
        <v>20.7452126095361</v>
      </c>
      <c r="JR37" s="363">
        <f t="shared" si="180"/>
        <v>19.975420989010992</v>
      </c>
      <c r="JS37" s="362">
        <f t="shared" si="65"/>
        <v>21.026758935801045</v>
      </c>
    </row>
    <row r="38" spans="1:281">
      <c r="A38" s="259">
        <f>'1 StrategyMix for CarbonTargets'!V38</f>
        <v>0.9</v>
      </c>
      <c r="B38" s="247"/>
      <c r="C38" s="247"/>
      <c r="D38" s="247"/>
      <c r="E38" s="247"/>
      <c r="F38" s="247"/>
      <c r="G38" s="235">
        <v>0.1</v>
      </c>
      <c r="H38" s="64">
        <f>$B78*(1-H$3-H$16-H$19-H$22-H$25-H$31-H$32-H$33)</f>
        <v>3.8904494608695613E-2</v>
      </c>
      <c r="I38" s="64">
        <f>$B78*(1-I$3-I$16-I$19-I$22-I$25-I$31-I$32-I$33)</f>
        <v>3.8963939652173894E-2</v>
      </c>
      <c r="J38" s="64">
        <f>$B78*(1-J$3-J$16-J$19-J$22-J$25-J$31-J$32-J$33)</f>
        <v>3.8794749913043457E-2</v>
      </c>
      <c r="K38" s="64"/>
      <c r="M38" s="235">
        <v>0.1</v>
      </c>
      <c r="N38" s="235"/>
      <c r="O38" s="64">
        <f>$B101*(1-H$3-H$16-H$19-H$22-H$25-H$31-H$32-H$33)</f>
        <v>1.988800486956524E-2</v>
      </c>
      <c r="P38" s="64">
        <f>$B101*(1-I$3-I$16-I$19-I$22-I$25-I$31-I$32-I$33)</f>
        <v>1.9918393217391337E-2</v>
      </c>
      <c r="Q38" s="64">
        <f>$B101*(1-J$3-J$16-J$19-J$22-J$25-J$31-J$32-J$33)</f>
        <v>1.9831903304347857E-2</v>
      </c>
      <c r="AO38" s="89">
        <v>2048</v>
      </c>
      <c r="AP38" s="170">
        <f t="shared" si="181"/>
        <v>-2.6879999999999994E-2</v>
      </c>
      <c r="AQ38" s="170">
        <f t="shared" si="182"/>
        <v>-6.500000000000004E-3</v>
      </c>
      <c r="AR38" s="170">
        <f t="shared" si="183"/>
        <v>-2.0769230769230766E-2</v>
      </c>
      <c r="AS38" s="170">
        <f t="shared" si="184"/>
        <v>-6.1071428571428554E-2</v>
      </c>
      <c r="AU38" s="170">
        <f t="shared" si="185"/>
        <v>-4.700729927007298E-2</v>
      </c>
      <c r="AV38" s="170">
        <f t="shared" si="186"/>
        <v>-9.7420924574209311E-2</v>
      </c>
      <c r="AW38" s="170">
        <f t="shared" si="187"/>
        <v>-0.22890510948905121</v>
      </c>
      <c r="AY38" s="170">
        <f t="shared" si="188"/>
        <v>-8.4839999999999971E-2</v>
      </c>
      <c r="AZ38" s="278">
        <f t="shared" si="189"/>
        <v>8.1697777777777723E-3</v>
      </c>
      <c r="BA38" s="284">
        <f t="shared" si="190"/>
        <v>-3.7530560139130413E-2</v>
      </c>
      <c r="BB38" s="276">
        <f t="shared" si="191"/>
        <v>-3.6023696347826074E-2</v>
      </c>
      <c r="BC38" s="277">
        <f t="shared" si="192"/>
        <v>-3.484980584347825E-2</v>
      </c>
      <c r="BD38" s="278">
        <f t="shared" si="193"/>
        <v>8.1697777777777723E-3</v>
      </c>
      <c r="BE38" s="284">
        <f t="shared" si="194"/>
        <v>-3.7530560139130455E-2</v>
      </c>
      <c r="BF38" s="276">
        <f t="shared" si="195"/>
        <v>-3.6023696347826074E-2</v>
      </c>
      <c r="BG38" s="277">
        <f t="shared" si="196"/>
        <v>-3.4849805843478285E-2</v>
      </c>
      <c r="BH38" s="278">
        <f t="shared" si="197"/>
        <v>1.5755999999999982E-2</v>
      </c>
      <c r="BI38" s="284">
        <f t="shared" si="198"/>
        <v>-7.5061120278260895E-2</v>
      </c>
      <c r="BJ38" s="276">
        <f t="shared" si="199"/>
        <v>-7.204739269565226E-2</v>
      </c>
      <c r="BK38" s="277">
        <f t="shared" si="200"/>
        <v>-6.969961168695657E-2</v>
      </c>
      <c r="BL38" s="278">
        <f t="shared" si="201"/>
        <v>1.5755999999999982E-2</v>
      </c>
      <c r="BM38" s="284">
        <f t="shared" si="202"/>
        <v>-7.5061120278260854E-2</v>
      </c>
      <c r="BN38" s="276">
        <f t="shared" si="203"/>
        <v>-7.2047392695652093E-2</v>
      </c>
      <c r="BO38" s="277">
        <f t="shared" si="204"/>
        <v>-6.9699611686956486E-2</v>
      </c>
      <c r="BP38" s="278">
        <f t="shared" si="205"/>
        <v>1.5755999999999982E-2</v>
      </c>
      <c r="BQ38" s="284">
        <f t="shared" si="206"/>
        <v>-7.5061120278260909E-2</v>
      </c>
      <c r="BR38" s="276">
        <f t="shared" si="207"/>
        <v>-7.204739269565226E-2</v>
      </c>
      <c r="BS38" s="277">
        <f t="shared" si="208"/>
        <v>-6.9699611686956597E-2</v>
      </c>
      <c r="BT38" s="278">
        <f t="shared" si="209"/>
        <v>1.5755999999999982E-2</v>
      </c>
      <c r="BU38" s="284">
        <f t="shared" si="210"/>
        <v>-7.5061120278260854E-2</v>
      </c>
      <c r="BV38" s="276">
        <f t="shared" si="211"/>
        <v>-7.2047392695652149E-2</v>
      </c>
      <c r="BW38" s="278">
        <f t="shared" si="212"/>
        <v>-6.96996116869565E-2</v>
      </c>
      <c r="BX38" s="391">
        <f t="shared" si="66"/>
        <v>-2.1232444444444481E-2</v>
      </c>
      <c r="BY38" s="392">
        <f t="shared" si="67"/>
        <v>-0.27879844674782617</v>
      </c>
      <c r="BZ38" s="278"/>
      <c r="CB38" s="279">
        <f t="shared" si="213"/>
        <v>-0.57339399267399283</v>
      </c>
      <c r="CC38" s="64">
        <f t="shared" si="214"/>
        <v>-0.6000740207396934</v>
      </c>
      <c r="CD38" s="64">
        <f t="shared" si="215"/>
        <v>-0.62675404880539398</v>
      </c>
      <c r="CE38" s="64">
        <f t="shared" si="216"/>
        <v>-0.68069766049235059</v>
      </c>
      <c r="CF38" s="64">
        <f t="shared" si="217"/>
        <v>-0.73464127217930708</v>
      </c>
      <c r="CG38" s="64">
        <f t="shared" si="218"/>
        <v>-0.78858488386626369</v>
      </c>
      <c r="CH38" s="64">
        <f t="shared" si="219"/>
        <v>-0.84252849555322018</v>
      </c>
      <c r="CI38">
        <v>2048</v>
      </c>
      <c r="CJ38" s="240"/>
      <c r="CL38">
        <v>2048</v>
      </c>
      <c r="CM38" s="3">
        <f t="shared" si="68"/>
        <v>0.95</v>
      </c>
      <c r="CN38" s="64">
        <f t="shared" si="23"/>
        <v>0.92311999999999994</v>
      </c>
      <c r="CO38" s="64">
        <f t="shared" si="24"/>
        <v>0.91661999999999999</v>
      </c>
      <c r="CP38" s="64">
        <f t="shared" si="25"/>
        <v>0.89585076923076923</v>
      </c>
      <c r="CQ38" s="64">
        <f t="shared" si="26"/>
        <v>0.83477934065934067</v>
      </c>
      <c r="CR38" s="64">
        <f t="shared" si="27"/>
        <v>0.78777204138926771</v>
      </c>
      <c r="CS38" s="64">
        <f t="shared" si="28"/>
        <v>0.69035111681505845</v>
      </c>
      <c r="CT38" s="64">
        <f t="shared" si="29"/>
        <v>0.46144600732600727</v>
      </c>
      <c r="CU38" s="64">
        <f t="shared" si="30"/>
        <v>0.3766060073260073</v>
      </c>
      <c r="CV38" s="64">
        <f t="shared" si="31"/>
        <v>0.38477578510378507</v>
      </c>
      <c r="CW38" s="65">
        <f t="shared" si="69"/>
        <v>0.34992597926030683</v>
      </c>
      <c r="CX38" s="64">
        <f t="shared" si="70"/>
        <v>0.39294556288156285</v>
      </c>
      <c r="CY38" s="65">
        <f t="shared" si="71"/>
        <v>0.32324595119460631</v>
      </c>
      <c r="CZ38" s="64">
        <f t="shared" si="72"/>
        <v>0.40870156288156284</v>
      </c>
      <c r="DA38" s="65">
        <f t="shared" si="73"/>
        <v>0.2693023395076497</v>
      </c>
      <c r="DB38" s="64">
        <f t="shared" si="74"/>
        <v>0.42445756288156283</v>
      </c>
      <c r="DC38" s="65">
        <f t="shared" si="75"/>
        <v>0.21535872782069321</v>
      </c>
      <c r="DD38" s="64">
        <f t="shared" si="76"/>
        <v>0.44021356288156283</v>
      </c>
      <c r="DE38" s="65">
        <f t="shared" si="77"/>
        <v>0.1614151161337366</v>
      </c>
      <c r="DF38" s="64">
        <f t="shared" si="78"/>
        <v>0.45596956288156282</v>
      </c>
      <c r="DG38" s="65">
        <f t="shared" si="79"/>
        <v>0.10747150444678009</v>
      </c>
      <c r="DL38">
        <v>2048</v>
      </c>
      <c r="DM38" s="64">
        <f t="shared" si="80"/>
        <v>0.10747150444678009</v>
      </c>
      <c r="DN38" s="64">
        <f t="shared" si="81"/>
        <v>0.1614151161337366</v>
      </c>
      <c r="DO38" s="64">
        <f t="shared" si="82"/>
        <v>0.21535872782069321</v>
      </c>
      <c r="DP38" s="64">
        <f t="shared" si="83"/>
        <v>0.2693023395076497</v>
      </c>
      <c r="DQ38" s="64">
        <f t="shared" si="84"/>
        <v>0.32324595119460631</v>
      </c>
      <c r="DR38" s="64">
        <f t="shared" si="85"/>
        <v>0.34992597926030683</v>
      </c>
      <c r="DS38" s="64">
        <f t="shared" si="32"/>
        <v>0.3766060073260073</v>
      </c>
      <c r="DT38" s="64">
        <f t="shared" si="33"/>
        <v>0.46144600732600727</v>
      </c>
      <c r="DU38" s="64">
        <f t="shared" si="34"/>
        <v>0.69035111681505845</v>
      </c>
      <c r="DV38" s="64">
        <f t="shared" si="35"/>
        <v>0.78777204138926771</v>
      </c>
      <c r="DW38" s="64">
        <f t="shared" si="36"/>
        <v>0.83477934065934067</v>
      </c>
      <c r="DX38" s="64">
        <f t="shared" si="37"/>
        <v>0.89585076923076923</v>
      </c>
      <c r="DY38" s="64">
        <f t="shared" si="38"/>
        <v>0.91661999999999999</v>
      </c>
      <c r="DZ38" s="64">
        <f t="shared" si="39"/>
        <v>0.92311999999999994</v>
      </c>
      <c r="EA38" s="3">
        <f t="shared" si="86"/>
        <v>0.95</v>
      </c>
      <c r="EB38">
        <v>2048</v>
      </c>
      <c r="EC38" s="269">
        <f t="shared" si="87"/>
        <v>0.10747150444678011</v>
      </c>
      <c r="ED38" s="269">
        <f t="shared" si="88"/>
        <v>0.05</v>
      </c>
      <c r="EE38" s="64">
        <f t="shared" si="89"/>
        <v>5.3943611686956508E-2</v>
      </c>
      <c r="EF38" s="64">
        <f t="shared" si="90"/>
        <v>5.3943611686956605E-2</v>
      </c>
      <c r="EG38" s="64">
        <f t="shared" si="91"/>
        <v>5.3943611686956494E-2</v>
      </c>
      <c r="EH38" s="64">
        <f t="shared" si="92"/>
        <v>5.3943611686956605E-2</v>
      </c>
      <c r="EI38" s="64">
        <f t="shared" si="93"/>
        <v>2.6680028065700523E-2</v>
      </c>
      <c r="EJ38" s="64">
        <f t="shared" si="94"/>
        <v>2.6680028065700467E-2</v>
      </c>
      <c r="EK38" s="64">
        <f t="shared" si="95"/>
        <v>8.4839999999999971E-2</v>
      </c>
      <c r="EL38" s="64">
        <f t="shared" si="96"/>
        <v>0.22890510948905118</v>
      </c>
      <c r="EM38" s="64">
        <f t="shared" si="97"/>
        <v>9.7420924574209256E-2</v>
      </c>
      <c r="EN38" s="64">
        <f t="shared" si="98"/>
        <v>4.7007299270072966E-2</v>
      </c>
      <c r="EO38" s="64">
        <f t="shared" si="99"/>
        <v>6.1071428571428554E-2</v>
      </c>
      <c r="EP38" s="64">
        <f t="shared" si="100"/>
        <v>2.0769230769230762E-2</v>
      </c>
      <c r="EQ38" s="64">
        <f t="shared" si="101"/>
        <v>6.4999999999999503E-3</v>
      </c>
      <c r="ER38" s="64">
        <f t="shared" si="102"/>
        <v>2.6880000000000015E-2</v>
      </c>
      <c r="EX38" s="89">
        <v>2048</v>
      </c>
      <c r="EY38" s="278">
        <f t="shared" si="103"/>
        <v>1.0433333333333332</v>
      </c>
      <c r="EZ38" s="278"/>
      <c r="FA38" s="278">
        <f t="shared" si="104"/>
        <v>0.20080483778011338</v>
      </c>
      <c r="FB38" s="278">
        <f t="shared" si="41"/>
        <v>0.05</v>
      </c>
      <c r="FC38" s="64">
        <f t="shared" si="42"/>
        <v>0.34849805843478265</v>
      </c>
      <c r="FD38" s="64">
        <f t="shared" si="105"/>
        <v>5.476444444444499E-3</v>
      </c>
      <c r="FE38" s="64">
        <f t="shared" si="106"/>
        <v>0.22890510948905118</v>
      </c>
      <c r="FF38" s="64">
        <f t="shared" si="107"/>
        <v>9.7420924574209256E-2</v>
      </c>
      <c r="FG38" s="64">
        <f t="shared" si="108"/>
        <v>4.7007299270072966E-2</v>
      </c>
      <c r="FH38" s="64">
        <f t="shared" si="109"/>
        <v>6.1071428571428554E-2</v>
      </c>
      <c r="FI38" s="64">
        <f t="shared" si="110"/>
        <v>2.0769230769230762E-2</v>
      </c>
      <c r="FJ38" s="64">
        <f t="shared" si="111"/>
        <v>6.4999999999999503E-3</v>
      </c>
      <c r="FK38" s="280">
        <f t="shared" si="112"/>
        <v>2.6880000000000015E-2</v>
      </c>
      <c r="FL38" s="64"/>
      <c r="FM38" s="89">
        <v>2048</v>
      </c>
      <c r="FN38" s="278">
        <f t="shared" si="113"/>
        <v>1.0433333333333332</v>
      </c>
      <c r="FP38" s="278">
        <f t="shared" si="114"/>
        <v>0.25474844946706987</v>
      </c>
      <c r="FQ38" s="278">
        <f t="shared" si="115"/>
        <v>0.05</v>
      </c>
      <c r="FR38" s="64">
        <f t="shared" si="116"/>
        <v>0.27879844674782617</v>
      </c>
      <c r="FS38" s="64">
        <f t="shared" si="117"/>
        <v>2.1232444444444481E-2</v>
      </c>
      <c r="FT38" s="64">
        <f t="shared" si="118"/>
        <v>0.22890510948905118</v>
      </c>
      <c r="FU38" s="64">
        <f t="shared" si="119"/>
        <v>9.7420924574209256E-2</v>
      </c>
      <c r="FV38" s="64">
        <f t="shared" si="120"/>
        <v>4.7007299270072966E-2</v>
      </c>
      <c r="FW38" s="64">
        <f t="shared" si="121"/>
        <v>6.1071428571428554E-2</v>
      </c>
      <c r="FX38" s="64">
        <f t="shared" si="122"/>
        <v>2.0769230769230762E-2</v>
      </c>
      <c r="FY38" s="64">
        <f t="shared" si="123"/>
        <v>6.4999999999999503E-3</v>
      </c>
      <c r="FZ38" s="280">
        <f t="shared" si="124"/>
        <v>2.6880000000000015E-2</v>
      </c>
      <c r="GA38" s="64"/>
      <c r="GB38" s="89">
        <v>2048</v>
      </c>
      <c r="GC38" s="278">
        <f t="shared" si="125"/>
        <v>1.0433333333333332</v>
      </c>
      <c r="GE38" s="278">
        <f t="shared" si="126"/>
        <v>0.30869206115402648</v>
      </c>
      <c r="GF38" s="278">
        <f t="shared" si="127"/>
        <v>0.05</v>
      </c>
      <c r="GG38" s="64">
        <f t="shared" si="128"/>
        <v>0.2090988350608696</v>
      </c>
      <c r="GH38" s="64">
        <f t="shared" si="129"/>
        <v>3.6988444444444463E-2</v>
      </c>
      <c r="GI38" s="64">
        <f t="shared" si="130"/>
        <v>0.22890510948905118</v>
      </c>
      <c r="GJ38" s="64">
        <f t="shared" si="131"/>
        <v>9.7420924574209256E-2</v>
      </c>
      <c r="GK38" s="64">
        <f t="shared" si="132"/>
        <v>4.7007299270072966E-2</v>
      </c>
      <c r="GL38" s="64">
        <f t="shared" si="133"/>
        <v>6.1071428571428554E-2</v>
      </c>
      <c r="GM38" s="64">
        <f t="shared" si="134"/>
        <v>2.0769230769230762E-2</v>
      </c>
      <c r="GN38" s="64">
        <f t="shared" si="135"/>
        <v>6.4999999999999503E-3</v>
      </c>
      <c r="GO38" s="280">
        <f t="shared" si="136"/>
        <v>2.6880000000000015E-2</v>
      </c>
      <c r="GP38" s="64"/>
      <c r="GQ38" s="89">
        <v>2048</v>
      </c>
      <c r="GR38" s="278">
        <f t="shared" si="137"/>
        <v>1.0433333333333332</v>
      </c>
      <c r="GT38" s="278">
        <f t="shared" si="138"/>
        <v>0.36263567284098297</v>
      </c>
      <c r="GU38" s="278">
        <f t="shared" si="139"/>
        <v>0.05</v>
      </c>
      <c r="GV38" s="64">
        <f t="shared" si="140"/>
        <v>0.13939922337391311</v>
      </c>
      <c r="GW38" s="64">
        <f t="shared" si="141"/>
        <v>5.2744444444444441E-2</v>
      </c>
      <c r="GX38" s="64">
        <f t="shared" si="43"/>
        <v>0.22890510948905118</v>
      </c>
      <c r="GY38" s="64">
        <f t="shared" si="44"/>
        <v>9.7420924574209256E-2</v>
      </c>
      <c r="GZ38" s="64">
        <f t="shared" si="45"/>
        <v>4.7007299270072966E-2</v>
      </c>
      <c r="HA38" s="64">
        <f t="shared" si="46"/>
        <v>6.1071428571428554E-2</v>
      </c>
      <c r="HB38" s="64">
        <f t="shared" si="47"/>
        <v>2.0769230769230762E-2</v>
      </c>
      <c r="HC38" s="64">
        <f t="shared" si="48"/>
        <v>6.4999999999999503E-3</v>
      </c>
      <c r="HD38" s="280">
        <f t="shared" si="49"/>
        <v>2.6880000000000015E-2</v>
      </c>
      <c r="HE38" s="64"/>
      <c r="HF38" s="89">
        <v>2048</v>
      </c>
      <c r="HG38" s="278">
        <f t="shared" si="142"/>
        <v>1.0433333333333332</v>
      </c>
      <c r="HI38" s="278">
        <f t="shared" si="143"/>
        <v>0.41657928452793958</v>
      </c>
      <c r="HJ38" s="278">
        <f t="shared" si="144"/>
        <v>0.05</v>
      </c>
      <c r="HK38" s="64">
        <f t="shared" si="145"/>
        <v>6.9699611686956542E-2</v>
      </c>
      <c r="HL38" s="64">
        <f t="shared" si="146"/>
        <v>6.8500444444444419E-2</v>
      </c>
      <c r="HM38" s="64">
        <f t="shared" si="147"/>
        <v>0.22890510948905118</v>
      </c>
      <c r="HN38" s="64">
        <f t="shared" si="148"/>
        <v>9.7420924574209256E-2</v>
      </c>
      <c r="HO38" s="64">
        <f t="shared" si="149"/>
        <v>4.7007299270072966E-2</v>
      </c>
      <c r="HP38" s="64">
        <f t="shared" si="150"/>
        <v>6.1071428571428554E-2</v>
      </c>
      <c r="HQ38" s="64">
        <f t="shared" si="151"/>
        <v>2.0769230769230762E-2</v>
      </c>
      <c r="HR38" s="64">
        <f t="shared" si="152"/>
        <v>6.4999999999999503E-3</v>
      </c>
      <c r="HS38" s="280">
        <f t="shared" si="153"/>
        <v>2.6880000000000015E-2</v>
      </c>
      <c r="HT38" s="64"/>
      <c r="HU38" s="89">
        <v>2048</v>
      </c>
      <c r="HV38" s="278">
        <f t="shared" si="154"/>
        <v>1.0433333333333332</v>
      </c>
      <c r="HX38" s="278">
        <f t="shared" si="155"/>
        <v>0.44325931259364004</v>
      </c>
      <c r="HY38" s="278">
        <f t="shared" si="156"/>
        <v>0.05</v>
      </c>
      <c r="HZ38" s="64">
        <f t="shared" si="157"/>
        <v>3.484980584347825E-2</v>
      </c>
      <c r="IA38" s="64">
        <f t="shared" si="158"/>
        <v>7.6670222222222195E-2</v>
      </c>
      <c r="IB38" s="64">
        <f t="shared" si="159"/>
        <v>0.22890510948905118</v>
      </c>
      <c r="IC38" s="64">
        <f t="shared" si="160"/>
        <v>9.7420924574209256E-2</v>
      </c>
      <c r="ID38" s="64">
        <f t="shared" si="161"/>
        <v>4.7007299270072966E-2</v>
      </c>
      <c r="IE38" s="64">
        <f t="shared" si="162"/>
        <v>6.1071428571428554E-2</v>
      </c>
      <c r="IF38" s="64">
        <f t="shared" si="163"/>
        <v>2.0769230769230762E-2</v>
      </c>
      <c r="IG38" s="64">
        <f t="shared" si="164"/>
        <v>6.4999999999999503E-3</v>
      </c>
      <c r="IH38" s="280">
        <f t="shared" si="165"/>
        <v>2.6880000000000015E-2</v>
      </c>
      <c r="II38" s="64"/>
      <c r="IJ38" s="89">
        <v>2048</v>
      </c>
      <c r="IK38" s="278">
        <f t="shared" si="166"/>
        <v>1.0433333333333332</v>
      </c>
      <c r="IM38" s="278">
        <f t="shared" si="167"/>
        <v>0.46993934065934051</v>
      </c>
      <c r="IN38" s="278">
        <f t="shared" si="168"/>
        <v>0.05</v>
      </c>
      <c r="IO38" s="64">
        <v>0</v>
      </c>
      <c r="IP38" s="64">
        <f t="shared" si="169"/>
        <v>8.4839999999999971E-2</v>
      </c>
      <c r="IQ38" s="64">
        <f t="shared" si="50"/>
        <v>0.22890510948905118</v>
      </c>
      <c r="IR38" s="64">
        <f t="shared" si="51"/>
        <v>9.7420924574209256E-2</v>
      </c>
      <c r="IS38" s="64">
        <f t="shared" si="52"/>
        <v>4.7007299270072966E-2</v>
      </c>
      <c r="IT38" s="64">
        <f t="shared" si="53"/>
        <v>6.1071428571428554E-2</v>
      </c>
      <c r="IU38" s="64">
        <f t="shared" si="54"/>
        <v>2.0769230769230762E-2</v>
      </c>
      <c r="IV38" s="64">
        <f t="shared" si="55"/>
        <v>6.4999999999999503E-3</v>
      </c>
      <c r="IW38" s="280">
        <f t="shared" si="56"/>
        <v>2.6880000000000015E-2</v>
      </c>
      <c r="IX38" s="3">
        <f t="shared" si="170"/>
        <v>0.11908771929824624</v>
      </c>
      <c r="IY38">
        <f t="shared" si="57"/>
        <v>2048</v>
      </c>
      <c r="IZ38" s="3">
        <f t="shared" si="171"/>
        <v>20.445360329670333</v>
      </c>
      <c r="JA38" s="353">
        <f>HLOOKUP(JA$3,'Main calculations'!JG$8:JS$39,31,FALSE)</f>
        <v>19.019509500559156</v>
      </c>
      <c r="JB38" s="3">
        <f t="shared" si="172"/>
        <v>28.903333333333329</v>
      </c>
      <c r="JC38" s="353">
        <f t="shared" si="173"/>
        <v>30.424561403508768</v>
      </c>
      <c r="JD38" s="368">
        <f t="shared" si="174"/>
        <v>15.68340350877193</v>
      </c>
      <c r="JE38" s="369">
        <f t="shared" si="175"/>
        <v>16.508845798707295</v>
      </c>
      <c r="JF38" s="363">
        <f t="shared" si="176"/>
        <v>17.472357949496409</v>
      </c>
      <c r="JG38" s="362">
        <f t="shared" si="58"/>
        <v>18.39195573631201</v>
      </c>
      <c r="JH38" s="366">
        <f t="shared" si="59"/>
        <v>18.068534025531196</v>
      </c>
      <c r="JI38" s="367">
        <f t="shared" si="9"/>
        <v>19.019509500559156</v>
      </c>
      <c r="JJ38" s="363">
        <f t="shared" si="60"/>
        <v>18.664710101565984</v>
      </c>
      <c r="JK38" s="362">
        <f t="shared" si="61"/>
        <v>19.647063264806299</v>
      </c>
      <c r="JL38" s="366">
        <f t="shared" si="177"/>
        <v>19.260886177600767</v>
      </c>
      <c r="JM38" s="367">
        <f t="shared" si="62"/>
        <v>20.274617029053442</v>
      </c>
      <c r="JN38" s="363">
        <f t="shared" si="178"/>
        <v>19.857062253635551</v>
      </c>
      <c r="JO38" s="362">
        <f t="shared" si="63"/>
        <v>20.902170793300581</v>
      </c>
      <c r="JP38" s="366">
        <f t="shared" si="179"/>
        <v>20.151211291652935</v>
      </c>
      <c r="JQ38" s="367">
        <f t="shared" si="64"/>
        <v>21.21180135963467</v>
      </c>
      <c r="JR38" s="363">
        <f t="shared" si="180"/>
        <v>20.445360329670333</v>
      </c>
      <c r="JS38" s="362">
        <f t="shared" si="65"/>
        <v>21.521431925968773</v>
      </c>
    </row>
    <row r="39" spans="1:281">
      <c r="A39" s="689" t="s">
        <v>176</v>
      </c>
      <c r="B39" s="689"/>
      <c r="C39" s="689"/>
      <c r="D39" s="689"/>
      <c r="E39" s="689"/>
      <c r="F39" s="689"/>
      <c r="G39" s="235">
        <v>0.2</v>
      </c>
      <c r="H39" s="64">
        <f>$C78*(1-H$3-H$16-H$19-H$22-H$25-H$31-H$32-H$33)</f>
        <v>7.7808989217391225E-2</v>
      </c>
      <c r="I39" s="64">
        <f>$C78*(1-I$3-I$16-I$19-I$22-I$25-I$31-I$32-I$33)</f>
        <v>7.7927879304347789E-2</v>
      </c>
      <c r="J39" s="64">
        <f>$C78*(1-J$3-J$16-J$19-J$22-J$25-J$31-J$32-J$33)</f>
        <v>7.7589499826086913E-2</v>
      </c>
      <c r="K39" s="64"/>
      <c r="M39" s="235">
        <v>0.2</v>
      </c>
      <c r="N39" s="235"/>
      <c r="O39" s="64">
        <f>$C101*(1-H$3-H$16-H$19-H$22-H$25-H$31-H$32-H$33)</f>
        <v>3.977600973913039E-2</v>
      </c>
      <c r="P39" s="64">
        <f>$C101*(1-I$3-I$16-I$19-I$22-I$25-I$31-I$32-I$33)</f>
        <v>3.9836786434782584E-2</v>
      </c>
      <c r="Q39" s="64">
        <f>$C101*(1-J$3-J$16-J$19-J$22-J$25-J$31-J$32-J$33)</f>
        <v>3.9663806608695625E-2</v>
      </c>
      <c r="AO39" s="89">
        <v>2049</v>
      </c>
      <c r="AP39" s="170">
        <f t="shared" si="181"/>
        <v>-2.7839999999999993E-2</v>
      </c>
      <c r="AQ39" s="170">
        <f t="shared" si="182"/>
        <v>-6.7500000000000043E-3</v>
      </c>
      <c r="AR39" s="170">
        <f t="shared" si="183"/>
        <v>-2.1634615384615381E-2</v>
      </c>
      <c r="AS39" s="170">
        <f t="shared" si="184"/>
        <v>-6.4285714285714265E-2</v>
      </c>
      <c r="AU39" s="170">
        <f t="shared" si="185"/>
        <v>-4.86861313868613E-2</v>
      </c>
      <c r="AV39" s="170">
        <f t="shared" si="186"/>
        <v>-0.1009002433090025</v>
      </c>
      <c r="AW39" s="170">
        <f t="shared" si="187"/>
        <v>-0.23708029197080305</v>
      </c>
      <c r="AY39" s="170">
        <f t="shared" si="188"/>
        <v>-8.4839999999999971E-2</v>
      </c>
      <c r="AZ39" s="278">
        <f t="shared" si="189"/>
        <v>8.483999999999995E-3</v>
      </c>
      <c r="BA39" s="284">
        <f t="shared" si="190"/>
        <v>-3.8162655026086935E-2</v>
      </c>
      <c r="BB39" s="276">
        <f t="shared" si="191"/>
        <v>-3.7409223130434772E-2</v>
      </c>
      <c r="BC39" s="277">
        <f t="shared" si="192"/>
        <v>-3.6799703060869556E-2</v>
      </c>
      <c r="BD39" s="278">
        <f t="shared" si="193"/>
        <v>8.483999999999995E-3</v>
      </c>
      <c r="BE39" s="284">
        <f t="shared" si="194"/>
        <v>-3.8162655026086977E-2</v>
      </c>
      <c r="BF39" s="276">
        <f t="shared" si="195"/>
        <v>-3.7409223130434772E-2</v>
      </c>
      <c r="BG39" s="277">
        <f t="shared" si="196"/>
        <v>-3.6799703060869597E-2</v>
      </c>
      <c r="BH39" s="278">
        <f t="shared" si="197"/>
        <v>1.6361999999999981E-2</v>
      </c>
      <c r="BI39" s="284">
        <f t="shared" si="198"/>
        <v>-7.6325310052173939E-2</v>
      </c>
      <c r="BJ39" s="276">
        <f t="shared" si="199"/>
        <v>-7.4818446260869656E-2</v>
      </c>
      <c r="BK39" s="277">
        <f t="shared" si="200"/>
        <v>-7.359940612173918E-2</v>
      </c>
      <c r="BL39" s="278">
        <f t="shared" si="201"/>
        <v>1.6361999999999981E-2</v>
      </c>
      <c r="BM39" s="284">
        <f t="shared" si="202"/>
        <v>-7.6325310052173898E-2</v>
      </c>
      <c r="BN39" s="276">
        <f t="shared" si="203"/>
        <v>-7.4818446260869476E-2</v>
      </c>
      <c r="BO39" s="277">
        <f t="shared" si="204"/>
        <v>-7.3599406121739097E-2</v>
      </c>
      <c r="BP39" s="278">
        <f t="shared" si="205"/>
        <v>1.6361999999999981E-2</v>
      </c>
      <c r="BQ39" s="284">
        <f t="shared" si="206"/>
        <v>-7.6325310052173953E-2</v>
      </c>
      <c r="BR39" s="276">
        <f t="shared" si="207"/>
        <v>-7.4818446260869656E-2</v>
      </c>
      <c r="BS39" s="277">
        <f t="shared" si="208"/>
        <v>-7.3599406121739222E-2</v>
      </c>
      <c r="BT39" s="278">
        <f t="shared" si="209"/>
        <v>1.6361999999999981E-2</v>
      </c>
      <c r="BU39" s="284">
        <f t="shared" si="210"/>
        <v>-7.6325310052173898E-2</v>
      </c>
      <c r="BV39" s="276">
        <f t="shared" si="211"/>
        <v>-7.4818446260869545E-2</v>
      </c>
      <c r="BW39" s="278">
        <f t="shared" si="212"/>
        <v>-7.3599406121739111E-2</v>
      </c>
      <c r="BX39" s="391">
        <f t="shared" si="66"/>
        <v>-1.8786000000000046E-2</v>
      </c>
      <c r="BY39" s="392">
        <f t="shared" si="67"/>
        <v>-0.29439762448695667</v>
      </c>
      <c r="BZ39" s="278"/>
      <c r="CB39" s="279">
        <f t="shared" si="213"/>
        <v>-0.59201699633699656</v>
      </c>
      <c r="CC39" s="64">
        <f t="shared" si="214"/>
        <v>-0.62033269939786606</v>
      </c>
      <c r="CD39" s="64">
        <f t="shared" si="215"/>
        <v>-0.64864840245873556</v>
      </c>
      <c r="CE39" s="64">
        <f t="shared" si="216"/>
        <v>-0.70588580858047478</v>
      </c>
      <c r="CF39" s="64">
        <f t="shared" si="217"/>
        <v>-0.76312321470221389</v>
      </c>
      <c r="CG39" s="64">
        <f t="shared" si="218"/>
        <v>-0.82036062082395311</v>
      </c>
      <c r="CH39" s="64">
        <f t="shared" si="219"/>
        <v>-0.87759802694569222</v>
      </c>
      <c r="CI39">
        <v>2049</v>
      </c>
      <c r="CJ39" s="240"/>
      <c r="CL39">
        <v>2049</v>
      </c>
      <c r="CM39" s="3">
        <f t="shared" si="68"/>
        <v>0.95</v>
      </c>
      <c r="CN39" s="64">
        <f t="shared" si="23"/>
        <v>0.92215999999999998</v>
      </c>
      <c r="CO39" s="64">
        <f t="shared" si="24"/>
        <v>0.91540999999999995</v>
      </c>
      <c r="CP39" s="64">
        <f t="shared" si="25"/>
        <v>0.89377538461538453</v>
      </c>
      <c r="CQ39" s="64">
        <f t="shared" si="26"/>
        <v>0.82948967032967025</v>
      </c>
      <c r="CR39" s="64">
        <f t="shared" si="27"/>
        <v>0.78080353894280896</v>
      </c>
      <c r="CS39" s="64">
        <f t="shared" si="28"/>
        <v>0.67990329563380647</v>
      </c>
      <c r="CT39" s="64">
        <f t="shared" si="29"/>
        <v>0.44282300366300342</v>
      </c>
      <c r="CU39" s="64">
        <f t="shared" si="30"/>
        <v>0.35798300366300345</v>
      </c>
      <c r="CV39" s="64">
        <f t="shared" si="31"/>
        <v>0.36646700366300344</v>
      </c>
      <c r="CW39" s="65">
        <f t="shared" si="69"/>
        <v>0.32966730060213389</v>
      </c>
      <c r="CX39" s="64">
        <f t="shared" si="70"/>
        <v>0.37495100366300343</v>
      </c>
      <c r="CY39" s="65">
        <f t="shared" si="71"/>
        <v>0.30135159754126428</v>
      </c>
      <c r="CZ39" s="64">
        <f t="shared" si="72"/>
        <v>0.39131300366300342</v>
      </c>
      <c r="DA39" s="65">
        <f t="shared" si="73"/>
        <v>0.24411419141952509</v>
      </c>
      <c r="DB39" s="64">
        <f t="shared" si="74"/>
        <v>0.40767500366300341</v>
      </c>
      <c r="DC39" s="65">
        <f t="shared" si="75"/>
        <v>0.18687678529778595</v>
      </c>
      <c r="DD39" s="64">
        <f t="shared" si="76"/>
        <v>0.4240370036630034</v>
      </c>
      <c r="DE39" s="65">
        <f t="shared" si="77"/>
        <v>0.12963937917604673</v>
      </c>
      <c r="DF39" s="64">
        <f t="shared" si="78"/>
        <v>0.44039900366300339</v>
      </c>
      <c r="DG39" s="65">
        <f t="shared" si="79"/>
        <v>7.2401973054307608E-2</v>
      </c>
      <c r="DL39">
        <v>2049</v>
      </c>
      <c r="DM39" s="64">
        <f t="shared" si="80"/>
        <v>7.2401973054307608E-2</v>
      </c>
      <c r="DN39" s="64">
        <f t="shared" si="81"/>
        <v>0.12963937917604673</v>
      </c>
      <c r="DO39" s="64">
        <f t="shared" si="82"/>
        <v>0.18687678529778595</v>
      </c>
      <c r="DP39" s="64">
        <f t="shared" si="83"/>
        <v>0.24411419141952509</v>
      </c>
      <c r="DQ39" s="64">
        <f t="shared" si="84"/>
        <v>0.30135159754126428</v>
      </c>
      <c r="DR39" s="64">
        <f t="shared" si="85"/>
        <v>0.32966730060213389</v>
      </c>
      <c r="DS39" s="64">
        <f t="shared" si="32"/>
        <v>0.35798300366300345</v>
      </c>
      <c r="DT39" s="64">
        <f t="shared" si="33"/>
        <v>0.44282300366300342</v>
      </c>
      <c r="DU39" s="64">
        <f t="shared" si="34"/>
        <v>0.67990329563380647</v>
      </c>
      <c r="DV39" s="64">
        <f t="shared" si="35"/>
        <v>0.78080353894280896</v>
      </c>
      <c r="DW39" s="64">
        <f t="shared" si="36"/>
        <v>0.82948967032967025</v>
      </c>
      <c r="DX39" s="64">
        <f t="shared" si="37"/>
        <v>0.89377538461538453</v>
      </c>
      <c r="DY39" s="64">
        <f t="shared" si="38"/>
        <v>0.91540999999999995</v>
      </c>
      <c r="DZ39" s="64">
        <f t="shared" si="39"/>
        <v>0.92215999999999998</v>
      </c>
      <c r="EA39" s="3">
        <f t="shared" si="86"/>
        <v>0.95</v>
      </c>
      <c r="EB39">
        <v>2049</v>
      </c>
      <c r="EC39" s="269">
        <f t="shared" si="87"/>
        <v>7.2401973054307622E-2</v>
      </c>
      <c r="ED39" s="269">
        <f t="shared" si="88"/>
        <v>0.05</v>
      </c>
      <c r="EE39" s="64">
        <f t="shared" si="89"/>
        <v>5.7237406121739123E-2</v>
      </c>
      <c r="EF39" s="64">
        <f t="shared" si="90"/>
        <v>5.723740612173922E-2</v>
      </c>
      <c r="EG39" s="64">
        <f t="shared" si="91"/>
        <v>5.7237406121739137E-2</v>
      </c>
      <c r="EH39" s="64">
        <f t="shared" si="92"/>
        <v>5.7237406121739193E-2</v>
      </c>
      <c r="EI39" s="64">
        <f t="shared" si="93"/>
        <v>2.8315703060869613E-2</v>
      </c>
      <c r="EJ39" s="64">
        <f t="shared" si="94"/>
        <v>2.8315703060869557E-2</v>
      </c>
      <c r="EK39" s="64">
        <f t="shared" si="95"/>
        <v>8.4839999999999971E-2</v>
      </c>
      <c r="EL39" s="64">
        <f t="shared" si="96"/>
        <v>0.23708029197080305</v>
      </c>
      <c r="EM39" s="64">
        <f t="shared" si="97"/>
        <v>0.10090024330900249</v>
      </c>
      <c r="EN39" s="64">
        <f t="shared" si="98"/>
        <v>4.8686131386861287E-2</v>
      </c>
      <c r="EO39" s="64">
        <f t="shared" si="99"/>
        <v>6.4285714285714279E-2</v>
      </c>
      <c r="EP39" s="64">
        <f t="shared" si="100"/>
        <v>2.1634615384615419E-2</v>
      </c>
      <c r="EQ39" s="64">
        <f t="shared" si="101"/>
        <v>6.7500000000000338E-3</v>
      </c>
      <c r="ER39" s="64">
        <f t="shared" si="102"/>
        <v>2.7839999999999976E-2</v>
      </c>
      <c r="EX39" s="89">
        <v>2049</v>
      </c>
      <c r="EY39" s="278">
        <f t="shared" si="103"/>
        <v>1.0466666666666666</v>
      </c>
      <c r="EZ39" s="278"/>
      <c r="FA39" s="278">
        <f t="shared" si="104"/>
        <v>0.1690686397209743</v>
      </c>
      <c r="FB39" s="278">
        <f t="shared" si="41"/>
        <v>0.05</v>
      </c>
      <c r="FC39" s="64">
        <f t="shared" si="42"/>
        <v>0.36799703060869576</v>
      </c>
      <c r="FD39" s="64">
        <f t="shared" si="105"/>
        <v>2.424000000000065E-3</v>
      </c>
      <c r="FE39" s="64">
        <f t="shared" si="106"/>
        <v>0.23708029197080305</v>
      </c>
      <c r="FF39" s="64">
        <f t="shared" si="107"/>
        <v>0.10090024330900249</v>
      </c>
      <c r="FG39" s="64">
        <f t="shared" si="108"/>
        <v>4.8686131386861287E-2</v>
      </c>
      <c r="FH39" s="64">
        <f t="shared" si="109"/>
        <v>6.4285714285714279E-2</v>
      </c>
      <c r="FI39" s="64">
        <f t="shared" si="110"/>
        <v>2.1634615384615419E-2</v>
      </c>
      <c r="FJ39" s="64">
        <f t="shared" si="111"/>
        <v>6.7500000000000338E-3</v>
      </c>
      <c r="FK39" s="280">
        <f t="shared" si="112"/>
        <v>2.7839999999999976E-2</v>
      </c>
      <c r="FL39" s="64"/>
      <c r="FM39" s="89">
        <v>2049</v>
      </c>
      <c r="FN39" s="278">
        <f t="shared" si="113"/>
        <v>1.0466666666666666</v>
      </c>
      <c r="FP39" s="278">
        <f t="shared" si="114"/>
        <v>0.22630604584271341</v>
      </c>
      <c r="FQ39" s="278">
        <f t="shared" si="115"/>
        <v>0.05</v>
      </c>
      <c r="FR39" s="64">
        <f t="shared" si="116"/>
        <v>0.29439762448695667</v>
      </c>
      <c r="FS39" s="64">
        <f t="shared" si="117"/>
        <v>1.8786000000000046E-2</v>
      </c>
      <c r="FT39" s="64">
        <f t="shared" si="118"/>
        <v>0.23708029197080305</v>
      </c>
      <c r="FU39" s="64">
        <f t="shared" si="119"/>
        <v>0.10090024330900249</v>
      </c>
      <c r="FV39" s="64">
        <f t="shared" si="120"/>
        <v>4.8686131386861287E-2</v>
      </c>
      <c r="FW39" s="64">
        <f t="shared" si="121"/>
        <v>6.4285714285714279E-2</v>
      </c>
      <c r="FX39" s="64">
        <f t="shared" si="122"/>
        <v>2.1634615384615419E-2</v>
      </c>
      <c r="FY39" s="64">
        <f t="shared" si="123"/>
        <v>6.7500000000000338E-3</v>
      </c>
      <c r="FZ39" s="280">
        <f t="shared" si="124"/>
        <v>2.7839999999999976E-2</v>
      </c>
      <c r="GA39" s="64"/>
      <c r="GB39" s="89">
        <v>2049</v>
      </c>
      <c r="GC39" s="278">
        <f t="shared" si="125"/>
        <v>1.0466666666666666</v>
      </c>
      <c r="GE39" s="278">
        <f t="shared" si="126"/>
        <v>0.28354345196445263</v>
      </c>
      <c r="GF39" s="278">
        <f t="shared" si="127"/>
        <v>0.05</v>
      </c>
      <c r="GG39" s="64">
        <f t="shared" si="128"/>
        <v>0.22079821836521743</v>
      </c>
      <c r="GH39" s="64">
        <f t="shared" si="129"/>
        <v>3.5148000000000026E-2</v>
      </c>
      <c r="GI39" s="64">
        <f t="shared" si="130"/>
        <v>0.23708029197080305</v>
      </c>
      <c r="GJ39" s="64">
        <f t="shared" si="131"/>
        <v>0.10090024330900249</v>
      </c>
      <c r="GK39" s="64">
        <f t="shared" si="132"/>
        <v>4.8686131386861287E-2</v>
      </c>
      <c r="GL39" s="64">
        <f t="shared" si="133"/>
        <v>6.4285714285714279E-2</v>
      </c>
      <c r="GM39" s="64">
        <f t="shared" si="134"/>
        <v>2.1634615384615419E-2</v>
      </c>
      <c r="GN39" s="64">
        <f t="shared" si="135"/>
        <v>6.7500000000000338E-3</v>
      </c>
      <c r="GO39" s="280">
        <f t="shared" si="136"/>
        <v>2.7839999999999976E-2</v>
      </c>
      <c r="GP39" s="64"/>
      <c r="GQ39" s="89">
        <v>2049</v>
      </c>
      <c r="GR39" s="278">
        <f t="shared" si="137"/>
        <v>1.0466666666666666</v>
      </c>
      <c r="GT39" s="278">
        <f t="shared" si="138"/>
        <v>0.34078085808619174</v>
      </c>
      <c r="GU39" s="278">
        <f t="shared" si="139"/>
        <v>0.05</v>
      </c>
      <c r="GV39" s="64">
        <f t="shared" si="140"/>
        <v>0.14719881224347833</v>
      </c>
      <c r="GW39" s="64">
        <f t="shared" si="141"/>
        <v>5.1510000000000007E-2</v>
      </c>
      <c r="GX39" s="64">
        <f t="shared" si="43"/>
        <v>0.23708029197080305</v>
      </c>
      <c r="GY39" s="64">
        <f t="shared" si="44"/>
        <v>0.10090024330900249</v>
      </c>
      <c r="GZ39" s="64">
        <f t="shared" si="45"/>
        <v>4.8686131386861287E-2</v>
      </c>
      <c r="HA39" s="64">
        <f t="shared" si="46"/>
        <v>6.4285714285714279E-2</v>
      </c>
      <c r="HB39" s="64">
        <f t="shared" si="47"/>
        <v>2.1634615384615419E-2</v>
      </c>
      <c r="HC39" s="64">
        <f t="shared" si="48"/>
        <v>6.7500000000000338E-3</v>
      </c>
      <c r="HD39" s="280">
        <f t="shared" si="49"/>
        <v>2.7839999999999976E-2</v>
      </c>
      <c r="HE39" s="64"/>
      <c r="HF39" s="89">
        <v>2049</v>
      </c>
      <c r="HG39" s="278">
        <f t="shared" si="142"/>
        <v>1.0466666666666666</v>
      </c>
      <c r="HI39" s="278">
        <f t="shared" si="143"/>
        <v>0.39801826420793096</v>
      </c>
      <c r="HJ39" s="278">
        <f t="shared" si="144"/>
        <v>0.05</v>
      </c>
      <c r="HK39" s="64">
        <f t="shared" si="145"/>
        <v>7.3599406121739153E-2</v>
      </c>
      <c r="HL39" s="64">
        <f t="shared" si="146"/>
        <v>6.7871999999999988E-2</v>
      </c>
      <c r="HM39" s="64">
        <f t="shared" si="147"/>
        <v>0.23708029197080305</v>
      </c>
      <c r="HN39" s="64">
        <f t="shared" si="148"/>
        <v>0.10090024330900249</v>
      </c>
      <c r="HO39" s="64">
        <f t="shared" si="149"/>
        <v>4.8686131386861287E-2</v>
      </c>
      <c r="HP39" s="64">
        <f t="shared" si="150"/>
        <v>6.4285714285714279E-2</v>
      </c>
      <c r="HQ39" s="64">
        <f t="shared" si="151"/>
        <v>2.1634615384615419E-2</v>
      </c>
      <c r="HR39" s="64">
        <f t="shared" si="152"/>
        <v>6.7500000000000338E-3</v>
      </c>
      <c r="HS39" s="280">
        <f t="shared" si="153"/>
        <v>2.7839999999999976E-2</v>
      </c>
      <c r="HT39" s="64"/>
      <c r="HU39" s="89">
        <v>2049</v>
      </c>
      <c r="HV39" s="278">
        <f t="shared" si="154"/>
        <v>1.0466666666666666</v>
      </c>
      <c r="HX39" s="278">
        <f t="shared" si="155"/>
        <v>0.42633396726880057</v>
      </c>
      <c r="HY39" s="278">
        <f t="shared" si="156"/>
        <v>0.05</v>
      </c>
      <c r="HZ39" s="64">
        <f t="shared" si="157"/>
        <v>3.6799703060869556E-2</v>
      </c>
      <c r="IA39" s="64">
        <f t="shared" si="158"/>
        <v>7.6355999999999979E-2</v>
      </c>
      <c r="IB39" s="64">
        <f t="shared" si="159"/>
        <v>0.23708029197080305</v>
      </c>
      <c r="IC39" s="64">
        <f t="shared" si="160"/>
        <v>0.10090024330900249</v>
      </c>
      <c r="ID39" s="64">
        <f t="shared" si="161"/>
        <v>4.8686131386861287E-2</v>
      </c>
      <c r="IE39" s="64">
        <f t="shared" si="162"/>
        <v>6.4285714285714279E-2</v>
      </c>
      <c r="IF39" s="64">
        <f t="shared" si="163"/>
        <v>2.1634615384615419E-2</v>
      </c>
      <c r="IG39" s="64">
        <f t="shared" si="164"/>
        <v>6.7500000000000338E-3</v>
      </c>
      <c r="IH39" s="280">
        <f t="shared" si="165"/>
        <v>2.7839999999999976E-2</v>
      </c>
      <c r="II39" s="64"/>
      <c r="IJ39" s="89">
        <v>2049</v>
      </c>
      <c r="IK39" s="278">
        <f t="shared" si="166"/>
        <v>1.0466666666666666</v>
      </c>
      <c r="IM39" s="278">
        <f t="shared" si="167"/>
        <v>0.45464967032967019</v>
      </c>
      <c r="IN39" s="278">
        <f t="shared" si="168"/>
        <v>0.05</v>
      </c>
      <c r="IO39" s="64">
        <v>0</v>
      </c>
      <c r="IP39" s="64">
        <f t="shared" si="169"/>
        <v>8.4839999999999971E-2</v>
      </c>
      <c r="IQ39" s="64">
        <f t="shared" si="50"/>
        <v>0.23708029197080305</v>
      </c>
      <c r="IR39" s="64">
        <f t="shared" si="51"/>
        <v>0.10090024330900249</v>
      </c>
      <c r="IS39" s="64">
        <f t="shared" si="52"/>
        <v>4.8686131386861287E-2</v>
      </c>
      <c r="IT39" s="64">
        <f t="shared" si="53"/>
        <v>6.4285714285714279E-2</v>
      </c>
      <c r="IU39" s="64">
        <f t="shared" si="54"/>
        <v>2.1634615384615419E-2</v>
      </c>
      <c r="IV39" s="64">
        <f t="shared" si="55"/>
        <v>6.7500000000000338E-3</v>
      </c>
      <c r="IW39" s="280">
        <f t="shared" si="56"/>
        <v>2.7839999999999976E-2</v>
      </c>
      <c r="IX39" s="3">
        <f t="shared" si="170"/>
        <v>8.797076023391881E-2</v>
      </c>
      <c r="IY39">
        <f t="shared" si="57"/>
        <v>2049</v>
      </c>
      <c r="IZ39" s="3">
        <f t="shared" si="171"/>
        <v>20.900010000000002</v>
      </c>
      <c r="JA39" s="353">
        <f>HLOOKUP(JA$3,'Main calculations'!JG$8:JS$39,32,FALSE)</f>
        <v>19.257726390919906</v>
      </c>
      <c r="JB39" s="3">
        <f t="shared" si="172"/>
        <v>29.949999999999996</v>
      </c>
      <c r="JC39" s="353">
        <f t="shared" si="173"/>
        <v>31.526315789473681</v>
      </c>
      <c r="JD39" s="368">
        <f t="shared" si="174"/>
        <v>15.771374269005848</v>
      </c>
      <c r="JE39" s="369">
        <f t="shared" si="175"/>
        <v>16.601446598953526</v>
      </c>
      <c r="JF39" s="363">
        <f t="shared" si="176"/>
        <v>17.641426589217385</v>
      </c>
      <c r="JG39" s="362">
        <f t="shared" si="58"/>
        <v>18.569922725491985</v>
      </c>
      <c r="JH39" s="366">
        <f t="shared" si="59"/>
        <v>18.294840071373908</v>
      </c>
      <c r="JI39" s="367">
        <f t="shared" si="9"/>
        <v>19.257726390919906</v>
      </c>
      <c r="JJ39" s="363">
        <f t="shared" si="60"/>
        <v>18.948253553530435</v>
      </c>
      <c r="JK39" s="362">
        <f t="shared" si="61"/>
        <v>19.945530056347827</v>
      </c>
      <c r="JL39" s="366">
        <f t="shared" si="177"/>
        <v>19.601667035686958</v>
      </c>
      <c r="JM39" s="367">
        <f t="shared" si="62"/>
        <v>20.633333721775745</v>
      </c>
      <c r="JN39" s="363">
        <f t="shared" si="178"/>
        <v>20.255080517843481</v>
      </c>
      <c r="JO39" s="362">
        <f t="shared" si="63"/>
        <v>21.321137387203667</v>
      </c>
      <c r="JP39" s="366">
        <f t="shared" si="179"/>
        <v>20.577545258921734</v>
      </c>
      <c r="JQ39" s="367">
        <f t="shared" si="64"/>
        <v>21.66057395675972</v>
      </c>
      <c r="JR39" s="363">
        <f t="shared" si="180"/>
        <v>20.900010000000002</v>
      </c>
      <c r="JS39" s="362">
        <f t="shared" si="65"/>
        <v>22.000010526315794</v>
      </c>
    </row>
    <row r="40" spans="1:281" ht="15" thickBot="1">
      <c r="A40" s="260">
        <f>'1 StrategyMix for CarbonTargets'!V37</f>
        <v>0.3</v>
      </c>
      <c r="B40" s="248"/>
      <c r="C40" s="248"/>
      <c r="D40" s="248"/>
      <c r="E40" s="248"/>
      <c r="F40" s="248"/>
      <c r="G40" s="235">
        <v>0.4</v>
      </c>
      <c r="H40" s="64">
        <f>$D78*(1-H$3-H$16-H$19-H$22-H$25-H$31-H$32-H$33)</f>
        <v>0.15561797843478256</v>
      </c>
      <c r="I40" s="64">
        <f>$D78*(1-I$3-I$16-I$19-I$22-I$25-I$31-I$32-I$33)</f>
        <v>0.15585575860869566</v>
      </c>
      <c r="J40" s="64">
        <f>$D78*(1-J$3-J$16-J$19-J$22-J$25-J$31-J$32-J$33)</f>
        <v>0.15517899965217391</v>
      </c>
      <c r="K40" s="64"/>
      <c r="M40" s="235">
        <v>0.4</v>
      </c>
      <c r="N40" s="235"/>
      <c r="O40" s="64">
        <f>$D101*(1-H$3-H$16-H$19-H$22-H$25-H$31-H$32-H$33)</f>
        <v>7.9552019478260821E-2</v>
      </c>
      <c r="P40" s="64">
        <f>$D101*(1-I$3-I$16-I$19-I$22-I$25-I$31-I$32-I$33)</f>
        <v>7.967357286956521E-2</v>
      </c>
      <c r="Q40" s="64">
        <f>$D101*(1-J$3-J$16-J$19-J$22-J$25-J$31-J$32-J$33)</f>
        <v>7.9327613217391291E-2</v>
      </c>
      <c r="AO40" s="89">
        <v>2050</v>
      </c>
      <c r="AP40" s="170">
        <f t="shared" si="181"/>
        <v>-2.8799999999999992E-2</v>
      </c>
      <c r="AQ40" s="170">
        <f t="shared" si="182"/>
        <v>-7.0000000000000045E-3</v>
      </c>
      <c r="AR40" s="170">
        <f t="shared" si="183"/>
        <v>-2.2499999999999996E-2</v>
      </c>
      <c r="AS40" s="170">
        <f t="shared" si="184"/>
        <v>-6.7499999999999977E-2</v>
      </c>
      <c r="AU40" s="170">
        <f t="shared" si="185"/>
        <v>-5.0364963503649621E-2</v>
      </c>
      <c r="AV40" s="170">
        <f t="shared" si="186"/>
        <v>-0.1043795620437957</v>
      </c>
      <c r="AW40" s="170">
        <f t="shared" si="187"/>
        <v>-0.24525547445255488</v>
      </c>
      <c r="AY40" s="170">
        <f t="shared" si="188"/>
        <v>-8.4839999999999971E-2</v>
      </c>
      <c r="AZ40" s="278">
        <f t="shared" si="189"/>
        <v>8.7982222222222177E-3</v>
      </c>
      <c r="BA40" s="284">
        <f t="shared" si="190"/>
        <v>-3.8794749913043457E-2</v>
      </c>
      <c r="BB40" s="276">
        <f t="shared" si="191"/>
        <v>-3.8794749913043471E-2</v>
      </c>
      <c r="BC40" s="277">
        <f t="shared" si="192"/>
        <v>-3.8794749913043471E-2</v>
      </c>
      <c r="BD40" s="278">
        <f t="shared" si="193"/>
        <v>8.7982222222222177E-3</v>
      </c>
      <c r="BE40" s="284">
        <f t="shared" si="194"/>
        <v>-3.8794749913043498E-2</v>
      </c>
      <c r="BF40" s="276">
        <f t="shared" si="195"/>
        <v>-3.8794749913043471E-2</v>
      </c>
      <c r="BG40" s="277">
        <f t="shared" si="196"/>
        <v>-3.8794749913043512E-2</v>
      </c>
      <c r="BH40" s="278">
        <f t="shared" si="197"/>
        <v>1.696799999999998E-2</v>
      </c>
      <c r="BI40" s="284">
        <f t="shared" si="198"/>
        <v>-7.7589499826086983E-2</v>
      </c>
      <c r="BJ40" s="276">
        <f t="shared" si="199"/>
        <v>-7.7589499826087052E-2</v>
      </c>
      <c r="BK40" s="277">
        <f t="shared" si="200"/>
        <v>-7.7589499826087011E-2</v>
      </c>
      <c r="BL40" s="278">
        <f t="shared" si="201"/>
        <v>1.696799999999998E-2</v>
      </c>
      <c r="BM40" s="284">
        <f t="shared" si="202"/>
        <v>-7.7589499826086941E-2</v>
      </c>
      <c r="BN40" s="276">
        <f t="shared" si="203"/>
        <v>-7.7589499826086858E-2</v>
      </c>
      <c r="BO40" s="277">
        <f t="shared" si="204"/>
        <v>-7.7589499826086913E-2</v>
      </c>
      <c r="BP40" s="278">
        <f t="shared" si="205"/>
        <v>1.696799999999998E-2</v>
      </c>
      <c r="BQ40" s="284">
        <f t="shared" si="206"/>
        <v>-7.7589499826086997E-2</v>
      </c>
      <c r="BR40" s="276">
        <f t="shared" si="207"/>
        <v>-7.7589499826087052E-2</v>
      </c>
      <c r="BS40" s="277">
        <f t="shared" si="208"/>
        <v>-7.7589499826087052E-2</v>
      </c>
      <c r="BT40" s="278">
        <f t="shared" si="209"/>
        <v>1.696799999999998E-2</v>
      </c>
      <c r="BU40" s="284">
        <f t="shared" si="210"/>
        <v>-7.7589499826086941E-2</v>
      </c>
      <c r="BV40" s="276">
        <f t="shared" si="211"/>
        <v>-7.7589499826086941E-2</v>
      </c>
      <c r="BW40" s="278">
        <f t="shared" si="212"/>
        <v>-7.7589499826086941E-2</v>
      </c>
      <c r="BX40" s="393">
        <f>IF(BX$1=0,AY40,IF(BX$1=0.1,AY40+AZ40,IF(BX$1=0.2,AY40+AZ40+BD40,IF(BX$1=0.4,AY40+AZ40+BD40+BH40,IF(BX$1=0.6,AY40+AZ40+BD40+BH40+BL40,IF(BX$1=0.8,AY40+AZ40+BD40+BH40+BL40+BP40,IF(BX$1=1,AY40+AZ40+BD40+BH40+BL40++BP40+BT40,0)))))))</f>
        <v>-1.6339555555555583E-2</v>
      </c>
      <c r="BY40" s="394">
        <f t="shared" si="67"/>
        <v>-0.31035799930434793</v>
      </c>
      <c r="BZ40" s="278"/>
      <c r="CB40" s="279">
        <f t="shared" si="213"/>
        <v>-0.61064000000000007</v>
      </c>
      <c r="CC40" s="64">
        <f t="shared" si="214"/>
        <v>-0.64063652769082124</v>
      </c>
      <c r="CD40" s="64">
        <f t="shared" si="215"/>
        <v>-0.67063305538164253</v>
      </c>
      <c r="CE40" s="64">
        <f t="shared" si="216"/>
        <v>-0.73125455520772953</v>
      </c>
      <c r="CF40" s="64">
        <f t="shared" si="217"/>
        <v>-0.79187605503381642</v>
      </c>
      <c r="CG40" s="64">
        <f t="shared" si="218"/>
        <v>-0.85249755485990353</v>
      </c>
      <c r="CH40" s="64">
        <f t="shared" si="219"/>
        <v>-0.91311905468599053</v>
      </c>
      <c r="CI40">
        <v>2050</v>
      </c>
      <c r="CJ40" s="240"/>
      <c r="CL40">
        <v>2050</v>
      </c>
      <c r="CM40" s="3">
        <f t="shared" si="68"/>
        <v>0.95</v>
      </c>
      <c r="CN40" s="64">
        <f t="shared" si="23"/>
        <v>0.92120000000000002</v>
      </c>
      <c r="CO40" s="64">
        <f t="shared" si="24"/>
        <v>0.91420000000000001</v>
      </c>
      <c r="CP40" s="64">
        <f t="shared" si="25"/>
        <v>0.89170000000000005</v>
      </c>
      <c r="CQ40" s="64">
        <f t="shared" si="26"/>
        <v>0.82420000000000004</v>
      </c>
      <c r="CR40" s="64">
        <f t="shared" si="27"/>
        <v>0.77383503649635044</v>
      </c>
      <c r="CS40" s="64">
        <f t="shared" si="28"/>
        <v>0.66945547445255471</v>
      </c>
      <c r="CT40" s="64">
        <f t="shared" si="29"/>
        <v>0.4241999999999998</v>
      </c>
      <c r="CU40" s="64">
        <f t="shared" si="30"/>
        <v>0.33935999999999983</v>
      </c>
      <c r="CV40" s="64">
        <f t="shared" si="31"/>
        <v>0.34815822222222204</v>
      </c>
      <c r="CW40" s="65">
        <f t="shared" si="69"/>
        <v>0.30936347230917854</v>
      </c>
      <c r="CX40" s="64">
        <f t="shared" si="70"/>
        <v>0.35695644444444424</v>
      </c>
      <c r="CY40" s="65">
        <f t="shared" si="71"/>
        <v>0.27936694461835726</v>
      </c>
      <c r="CZ40" s="64">
        <f t="shared" si="72"/>
        <v>0.37392444444444423</v>
      </c>
      <c r="DA40" s="65">
        <f t="shared" si="73"/>
        <v>0.21874544479227023</v>
      </c>
      <c r="DB40" s="64">
        <f t="shared" si="74"/>
        <v>0.39089244444444421</v>
      </c>
      <c r="DC40" s="65">
        <f t="shared" si="75"/>
        <v>0.15812394496618332</v>
      </c>
      <c r="DD40" s="64">
        <f t="shared" si="76"/>
        <v>0.40786044444444419</v>
      </c>
      <c r="DE40" s="65">
        <f t="shared" si="77"/>
        <v>9.7502445140096192E-2</v>
      </c>
      <c r="DF40" s="64">
        <f t="shared" si="78"/>
        <v>0.42482844444444418</v>
      </c>
      <c r="DG40" s="65">
        <f t="shared" si="79"/>
        <v>3.6880945314009234E-2</v>
      </c>
      <c r="DL40">
        <v>2050</v>
      </c>
      <c r="DM40" s="64">
        <f t="shared" si="80"/>
        <v>3.6880945314009234E-2</v>
      </c>
      <c r="DN40" s="64">
        <f t="shared" si="81"/>
        <v>9.7502445140096192E-2</v>
      </c>
      <c r="DO40" s="64">
        <f t="shared" si="82"/>
        <v>0.15812394496618332</v>
      </c>
      <c r="DP40" s="64">
        <f t="shared" si="83"/>
        <v>0.21874544479227023</v>
      </c>
      <c r="DQ40" s="64">
        <f t="shared" si="84"/>
        <v>0.27936694461835726</v>
      </c>
      <c r="DR40" s="64">
        <f t="shared" si="85"/>
        <v>0.30936347230917854</v>
      </c>
      <c r="DS40" s="64">
        <f t="shared" si="32"/>
        <v>0.33935999999999983</v>
      </c>
      <c r="DT40" s="64">
        <f t="shared" si="33"/>
        <v>0.4241999999999998</v>
      </c>
      <c r="DU40" s="64">
        <f t="shared" si="34"/>
        <v>0.66945547445255471</v>
      </c>
      <c r="DV40" s="64">
        <f t="shared" si="35"/>
        <v>0.77383503649635044</v>
      </c>
      <c r="DW40" s="64">
        <f t="shared" si="36"/>
        <v>0.82420000000000004</v>
      </c>
      <c r="DX40" s="64">
        <f t="shared" si="37"/>
        <v>0.89170000000000005</v>
      </c>
      <c r="DY40" s="64">
        <f t="shared" si="38"/>
        <v>0.91420000000000001</v>
      </c>
      <c r="DZ40" s="64">
        <f t="shared" si="39"/>
        <v>0.92120000000000002</v>
      </c>
      <c r="EA40" s="3">
        <f t="shared" si="86"/>
        <v>0.95</v>
      </c>
      <c r="EB40">
        <v>2050</v>
      </c>
      <c r="EC40" s="269">
        <f t="shared" si="87"/>
        <v>3.6880945314009317E-2</v>
      </c>
      <c r="ED40" s="269">
        <f t="shared" si="88"/>
        <v>0.05</v>
      </c>
      <c r="EE40" s="64">
        <f t="shared" si="89"/>
        <v>6.0621499826086958E-2</v>
      </c>
      <c r="EF40" s="64">
        <f t="shared" si="90"/>
        <v>6.0621499826087125E-2</v>
      </c>
      <c r="EG40" s="64">
        <f t="shared" si="91"/>
        <v>6.0621499826086916E-2</v>
      </c>
      <c r="EH40" s="64">
        <f t="shared" si="92"/>
        <v>6.0621499826087027E-2</v>
      </c>
      <c r="EI40" s="64">
        <f t="shared" si="93"/>
        <v>2.9996527690821284E-2</v>
      </c>
      <c r="EJ40" s="64">
        <f t="shared" si="94"/>
        <v>2.9996527690821284E-2</v>
      </c>
      <c r="EK40" s="64">
        <f t="shared" si="95"/>
        <v>8.4839999999999971E-2</v>
      </c>
      <c r="EL40" s="64">
        <f t="shared" si="96"/>
        <v>0.24525547445255491</v>
      </c>
      <c r="EM40" s="64">
        <f t="shared" si="97"/>
        <v>0.10437956204379573</v>
      </c>
      <c r="EN40" s="64">
        <f t="shared" si="98"/>
        <v>5.0364963503649607E-2</v>
      </c>
      <c r="EO40" s="64">
        <f t="shared" si="99"/>
        <v>6.7500000000000004E-2</v>
      </c>
      <c r="EP40" s="64">
        <f t="shared" si="100"/>
        <v>2.2499999999999964E-2</v>
      </c>
      <c r="EQ40" s="64">
        <f t="shared" si="101"/>
        <v>7.0000000000000062E-3</v>
      </c>
      <c r="ER40" s="64">
        <f t="shared" si="102"/>
        <v>2.8799999999999937E-2</v>
      </c>
      <c r="EX40" s="86">
        <v>2050</v>
      </c>
      <c r="EY40" s="278">
        <f t="shared" si="103"/>
        <v>1.05</v>
      </c>
      <c r="EZ40" s="347"/>
      <c r="FA40" s="278">
        <f t="shared" si="104"/>
        <v>0.13688094531400941</v>
      </c>
      <c r="FB40" s="347">
        <f t="shared" si="41"/>
        <v>0.05</v>
      </c>
      <c r="FC40" s="171">
        <f>-($BC40+$BG40+$BK40+$BO40+$BS40+$BW40)</f>
        <v>0.38794749913043486</v>
      </c>
      <c r="FD40" s="171">
        <f t="shared" si="105"/>
        <v>-6.2844444444439679E-4</v>
      </c>
      <c r="FE40" s="171">
        <f t="shared" si="106"/>
        <v>0.24525547445255491</v>
      </c>
      <c r="FF40" s="171">
        <f t="shared" si="107"/>
        <v>0.10437956204379573</v>
      </c>
      <c r="FG40" s="171">
        <f t="shared" si="108"/>
        <v>5.0364963503649607E-2</v>
      </c>
      <c r="FH40" s="171">
        <f t="shared" si="109"/>
        <v>6.7500000000000004E-2</v>
      </c>
      <c r="FI40" s="171">
        <f t="shared" si="110"/>
        <v>2.2499999999999964E-2</v>
      </c>
      <c r="FJ40" s="171">
        <f t="shared" si="111"/>
        <v>7.0000000000000062E-3</v>
      </c>
      <c r="FK40" s="348">
        <f t="shared" si="112"/>
        <v>2.8799999999999937E-2</v>
      </c>
      <c r="FL40" s="64"/>
      <c r="FM40" s="86">
        <v>2050</v>
      </c>
      <c r="FN40" s="278">
        <f t="shared" si="113"/>
        <v>1.05</v>
      </c>
      <c r="FO40" s="87"/>
      <c r="FP40" s="278">
        <f t="shared" si="114"/>
        <v>0.19750244514009641</v>
      </c>
      <c r="FQ40" s="347">
        <f t="shared" si="115"/>
        <v>0.05</v>
      </c>
      <c r="FR40" s="171">
        <f t="shared" si="116"/>
        <v>0.31035799930434793</v>
      </c>
      <c r="FS40" s="171">
        <f t="shared" si="117"/>
        <v>1.6339555555555583E-2</v>
      </c>
      <c r="FT40" s="171">
        <f t="shared" si="118"/>
        <v>0.24525547445255491</v>
      </c>
      <c r="FU40" s="171">
        <f t="shared" si="119"/>
        <v>0.10437956204379573</v>
      </c>
      <c r="FV40" s="171">
        <f t="shared" si="120"/>
        <v>5.0364963503649607E-2</v>
      </c>
      <c r="FW40" s="171">
        <f t="shared" si="121"/>
        <v>6.7500000000000004E-2</v>
      </c>
      <c r="FX40" s="171">
        <f t="shared" si="122"/>
        <v>2.2499999999999964E-2</v>
      </c>
      <c r="FY40" s="171">
        <f t="shared" si="123"/>
        <v>7.0000000000000062E-3</v>
      </c>
      <c r="FZ40" s="348">
        <f t="shared" si="124"/>
        <v>2.8799999999999937E-2</v>
      </c>
      <c r="GA40" s="64"/>
      <c r="GB40" s="86">
        <v>2050</v>
      </c>
      <c r="GC40" s="278">
        <f t="shared" si="125"/>
        <v>1.05</v>
      </c>
      <c r="GD40" s="87"/>
      <c r="GE40" s="278">
        <f t="shared" si="126"/>
        <v>0.25812394496618341</v>
      </c>
      <c r="GF40" s="347">
        <f t="shared" si="127"/>
        <v>0.05</v>
      </c>
      <c r="GG40" s="171">
        <f t="shared" si="128"/>
        <v>0.23276849947826089</v>
      </c>
      <c r="GH40" s="171">
        <f t="shared" si="129"/>
        <v>3.3307555555555562E-2</v>
      </c>
      <c r="GI40" s="171">
        <f t="shared" si="130"/>
        <v>0.24525547445255491</v>
      </c>
      <c r="GJ40" s="171">
        <f t="shared" si="131"/>
        <v>0.10437956204379573</v>
      </c>
      <c r="GK40" s="171">
        <f t="shared" si="132"/>
        <v>5.0364963503649607E-2</v>
      </c>
      <c r="GL40" s="171">
        <f t="shared" si="133"/>
        <v>6.7500000000000004E-2</v>
      </c>
      <c r="GM40" s="171">
        <f t="shared" si="134"/>
        <v>2.2499999999999964E-2</v>
      </c>
      <c r="GN40" s="171">
        <f t="shared" si="135"/>
        <v>7.0000000000000062E-3</v>
      </c>
      <c r="GO40" s="348">
        <f t="shared" si="136"/>
        <v>2.8799999999999937E-2</v>
      </c>
      <c r="GP40" s="64"/>
      <c r="GQ40" s="86">
        <v>2050</v>
      </c>
      <c r="GR40" s="278">
        <f t="shared" si="137"/>
        <v>1.05</v>
      </c>
      <c r="GS40" s="87"/>
      <c r="GT40" s="278">
        <f t="shared" si="138"/>
        <v>0.3187454447922704</v>
      </c>
      <c r="GU40" s="347">
        <f t="shared" si="139"/>
        <v>0.05</v>
      </c>
      <c r="GV40" s="171">
        <f t="shared" si="140"/>
        <v>0.15517899965217399</v>
      </c>
      <c r="GW40" s="171">
        <f t="shared" si="141"/>
        <v>5.0275555555555546E-2</v>
      </c>
      <c r="GX40" s="171">
        <f t="shared" si="43"/>
        <v>0.24525547445255491</v>
      </c>
      <c r="GY40" s="171">
        <f t="shared" si="44"/>
        <v>0.10437956204379573</v>
      </c>
      <c r="GZ40" s="171">
        <f t="shared" si="45"/>
        <v>5.0364963503649607E-2</v>
      </c>
      <c r="HA40" s="171">
        <f t="shared" si="46"/>
        <v>6.7500000000000004E-2</v>
      </c>
      <c r="HB40" s="171">
        <f t="shared" si="47"/>
        <v>2.2499999999999964E-2</v>
      </c>
      <c r="HC40" s="171">
        <f t="shared" si="48"/>
        <v>7.0000000000000062E-3</v>
      </c>
      <c r="HD40" s="348">
        <f t="shared" si="49"/>
        <v>2.8799999999999937E-2</v>
      </c>
      <c r="HE40" s="64"/>
      <c r="HF40" s="86">
        <v>2050</v>
      </c>
      <c r="HG40" s="278">
        <f t="shared" si="142"/>
        <v>1.05</v>
      </c>
      <c r="HH40" s="87"/>
      <c r="HI40" s="278">
        <f t="shared" si="143"/>
        <v>0.3793669446183574</v>
      </c>
      <c r="HJ40" s="347">
        <f t="shared" si="144"/>
        <v>0.05</v>
      </c>
      <c r="HK40" s="171">
        <f t="shared" si="145"/>
        <v>7.7589499826086983E-2</v>
      </c>
      <c r="HL40" s="171">
        <f t="shared" si="146"/>
        <v>6.7243555555555529E-2</v>
      </c>
      <c r="HM40" s="171">
        <f t="shared" si="147"/>
        <v>0.24525547445255491</v>
      </c>
      <c r="HN40" s="171">
        <f t="shared" si="148"/>
        <v>0.10437956204379573</v>
      </c>
      <c r="HO40" s="171">
        <f t="shared" si="149"/>
        <v>5.0364963503649607E-2</v>
      </c>
      <c r="HP40" s="171">
        <f t="shared" si="150"/>
        <v>6.7500000000000004E-2</v>
      </c>
      <c r="HQ40" s="171">
        <f t="shared" si="151"/>
        <v>2.2499999999999964E-2</v>
      </c>
      <c r="HR40" s="171">
        <f t="shared" si="152"/>
        <v>7.0000000000000062E-3</v>
      </c>
      <c r="HS40" s="348">
        <f t="shared" si="153"/>
        <v>2.8799999999999937E-2</v>
      </c>
      <c r="HT40" s="64"/>
      <c r="HU40" s="86">
        <v>2050</v>
      </c>
      <c r="HV40" s="278">
        <f t="shared" si="154"/>
        <v>1.05</v>
      </c>
      <c r="HW40" s="87"/>
      <c r="HX40" s="278">
        <f t="shared" si="155"/>
        <v>0.40936347230917869</v>
      </c>
      <c r="HY40" s="347">
        <f t="shared" si="156"/>
        <v>0.05</v>
      </c>
      <c r="HZ40" s="171">
        <f t="shared" si="157"/>
        <v>3.8794749913043471E-2</v>
      </c>
      <c r="IA40" s="171">
        <f t="shared" si="158"/>
        <v>7.604177777777775E-2</v>
      </c>
      <c r="IB40" s="171">
        <f t="shared" si="159"/>
        <v>0.24525547445255491</v>
      </c>
      <c r="IC40" s="171">
        <f t="shared" si="160"/>
        <v>0.10437956204379573</v>
      </c>
      <c r="ID40" s="171">
        <f t="shared" si="161"/>
        <v>5.0364963503649607E-2</v>
      </c>
      <c r="IE40" s="171">
        <f t="shared" si="162"/>
        <v>6.7500000000000004E-2</v>
      </c>
      <c r="IF40" s="171">
        <f t="shared" si="163"/>
        <v>2.2499999999999964E-2</v>
      </c>
      <c r="IG40" s="171">
        <f t="shared" si="164"/>
        <v>7.0000000000000062E-3</v>
      </c>
      <c r="IH40" s="348">
        <f t="shared" si="165"/>
        <v>2.8799999999999937E-2</v>
      </c>
      <c r="II40" s="64"/>
      <c r="IJ40" s="86">
        <v>2050</v>
      </c>
      <c r="IK40" s="278">
        <f t="shared" si="166"/>
        <v>1.05</v>
      </c>
      <c r="IL40" s="87"/>
      <c r="IM40" s="278">
        <f t="shared" si="167"/>
        <v>0.43935999999999986</v>
      </c>
      <c r="IN40" s="347">
        <f t="shared" si="168"/>
        <v>0.05</v>
      </c>
      <c r="IO40" s="171">
        <v>0</v>
      </c>
      <c r="IP40" s="171">
        <f t="shared" si="169"/>
        <v>8.4839999999999971E-2</v>
      </c>
      <c r="IQ40" s="171">
        <f t="shared" si="50"/>
        <v>0.24525547445255491</v>
      </c>
      <c r="IR40" s="171">
        <f t="shared" si="51"/>
        <v>0.10437956204379573</v>
      </c>
      <c r="IS40" s="171">
        <f t="shared" si="52"/>
        <v>5.0364963503649607E-2</v>
      </c>
      <c r="IT40" s="171">
        <f t="shared" si="53"/>
        <v>6.7500000000000004E-2</v>
      </c>
      <c r="IU40" s="171">
        <f t="shared" si="54"/>
        <v>2.2499999999999964E-2</v>
      </c>
      <c r="IV40" s="171">
        <f t="shared" si="55"/>
        <v>7.0000000000000062E-3</v>
      </c>
      <c r="IW40" s="348">
        <f t="shared" si="56"/>
        <v>2.8799999999999937E-2</v>
      </c>
      <c r="IX40" s="3">
        <f t="shared" si="170"/>
        <v>-15.771374269005848</v>
      </c>
      <c r="IY40">
        <f t="shared" si="57"/>
        <v>2050</v>
      </c>
      <c r="IZ40" s="3"/>
      <c r="JA40" s="353"/>
      <c r="JB40" s="3">
        <f t="shared" si="172"/>
        <v>30.999999999999996</v>
      </c>
      <c r="JE40" s="353"/>
      <c r="JF40" s="3"/>
      <c r="JG40" s="353"/>
      <c r="JH40" s="3"/>
      <c r="JI40" s="353"/>
      <c r="JJ40" s="3"/>
      <c r="JK40" s="353">
        <f t="shared" si="61"/>
        <v>0</v>
      </c>
      <c r="JM40" s="353">
        <f t="shared" si="62"/>
        <v>0</v>
      </c>
      <c r="JO40" s="353">
        <f t="shared" si="63"/>
        <v>0</v>
      </c>
      <c r="JQ40" s="353">
        <f t="shared" si="64"/>
        <v>0</v>
      </c>
      <c r="JS40" s="353">
        <f t="shared" si="65"/>
        <v>0</v>
      </c>
    </row>
    <row r="41" spans="1:281">
      <c r="A41" s="259"/>
      <c r="B41" s="247"/>
      <c r="C41" s="247"/>
      <c r="D41" s="247"/>
      <c r="E41" s="247"/>
      <c r="F41" s="247"/>
      <c r="G41" s="235">
        <v>0.6</v>
      </c>
      <c r="H41" s="64">
        <f>$E78*(1-H$3-H$16-H$19-H$22-H$25-H$31-H$32-H$33)</f>
        <v>0.23342696765217377</v>
      </c>
      <c r="I41" s="64">
        <f>$E78*(1-I$3-I$16-I$19-I$22-I$25-I$31-I$32-I$33)</f>
        <v>0.23378363791304346</v>
      </c>
      <c r="J41" s="64">
        <f>$E78*(1-J$3-J$16-J$19-J$22-J$25-J$31-J$32-J$33)</f>
        <v>0.23276849947826084</v>
      </c>
      <c r="K41" s="64"/>
      <c r="M41" s="235">
        <v>0.6</v>
      </c>
      <c r="N41" s="235"/>
      <c r="O41" s="64">
        <f>$E101*(1-H$3-H$16-H$19-H$22-H$25-H$31-H$32-H$33)</f>
        <v>0.11932802921739126</v>
      </c>
      <c r="P41" s="64">
        <f>$E101*(1-I$3-I$16-I$19-I$22-I$25-I$31-I$32-I$33)</f>
        <v>0.11951035930434784</v>
      </c>
      <c r="Q41" s="64">
        <f>$E101*(1-J$3-J$16-J$19-J$22-J$25-J$31-J$32-J$33)</f>
        <v>0.11899141982608696</v>
      </c>
      <c r="AO41" s="89"/>
      <c r="AY41" s="170"/>
      <c r="BA41" s="283"/>
      <c r="BB41" s="271"/>
      <c r="BC41" s="240"/>
      <c r="BE41" s="283"/>
      <c r="BF41" s="271"/>
      <c r="BG41" s="240"/>
      <c r="BI41" s="283"/>
      <c r="BJ41" s="271"/>
      <c r="BK41" s="240"/>
      <c r="BM41" s="283"/>
      <c r="BN41" s="271"/>
      <c r="BO41" s="240"/>
      <c r="BQ41" s="283"/>
      <c r="BR41" s="271"/>
      <c r="BS41" s="240"/>
      <c r="BU41" s="283"/>
      <c r="BV41" s="271"/>
      <c r="BW41" s="240"/>
      <c r="CB41" s="279"/>
      <c r="CJ41" s="240"/>
    </row>
    <row r="42" spans="1:281">
      <c r="A42" s="247"/>
      <c r="B42" s="247"/>
      <c r="C42" s="247"/>
      <c r="D42" s="247"/>
      <c r="E42" s="247"/>
      <c r="F42" s="247"/>
      <c r="G42" s="235">
        <v>0.8</v>
      </c>
      <c r="H42" s="64">
        <f>$F78*(1-H$3-H$16-H$19-H$22-H$25-H$31-H$32-H$33)</f>
        <v>0.31123595686956512</v>
      </c>
      <c r="I42" s="64">
        <f>$F78*(1-I$3-I$16-I$19-I$22-I$25-I$31-I$32-I$33)</f>
        <v>0.31171151721739132</v>
      </c>
      <c r="J42" s="64">
        <f>$F78*(1-J$3-J$16-J$19-J$22-J$25-J$31-J$32-J$33)</f>
        <v>0.31035799930434782</v>
      </c>
      <c r="K42" s="64"/>
      <c r="M42" s="235">
        <v>0.8</v>
      </c>
      <c r="N42" s="235"/>
      <c r="O42" s="64">
        <f>$F101*(1-H$3-H$16-H$19-H$22-H$25-H$31-H$32-H$33)</f>
        <v>0.15910403895652164</v>
      </c>
      <c r="P42" s="64">
        <f>$F101*(1-I$3-I$16-I$19-I$22-I$25-I$31-I$32-I$33)</f>
        <v>0.15934714573913042</v>
      </c>
      <c r="Q42" s="64">
        <f>$F101*(1-J$3-J$16-J$19-J$22-J$25-J$31-J$32-J$33)</f>
        <v>0.15865522643478258</v>
      </c>
      <c r="AO42" s="89" t="s">
        <v>171</v>
      </c>
      <c r="AP42" s="170">
        <f>SUM(AP11:AP40)/30</f>
        <v>-1.4880000000000001E-2</v>
      </c>
      <c r="AQ42" s="170">
        <f>SUM(AQ11:AQ40)/30</f>
        <v>-3.3833333333333358E-3</v>
      </c>
      <c r="AR42" s="170">
        <f>SUM(AR11:AR40)/30</f>
        <v>-1.0124999999999999E-2</v>
      </c>
      <c r="AS42" s="170">
        <f>SUM(AS11:AS40)/30</f>
        <v>-2.4749999999999998E-2</v>
      </c>
      <c r="AU42" s="170">
        <f>SUM(AU11:AU40)/30</f>
        <v>-2.6021897810218967E-2</v>
      </c>
      <c r="AV42" s="170">
        <f>SUM(AV11:AV40)/30</f>
        <v>-5.3929440389294418E-2</v>
      </c>
      <c r="AW42" s="170">
        <f>SUM(AW11:AW40)/30</f>
        <v>-0.1267153284671533</v>
      </c>
      <c r="AY42" s="170">
        <f>SUM(AY11:AY40)/30</f>
        <v>-6.2216000000000007E-2</v>
      </c>
      <c r="AZ42" s="170">
        <f>SUM(AZ11:AZ40)/30</f>
        <v>4.2524740740740715E-3</v>
      </c>
      <c r="BA42" s="284"/>
      <c r="BB42" s="275"/>
      <c r="BC42" s="287">
        <f>SUM(BC11:BC40)/30</f>
        <v>-1.6001183033043469E-2</v>
      </c>
      <c r="BD42" s="170">
        <f>SUM(BD11:BD40)/30</f>
        <v>4.2524740740740715E-3</v>
      </c>
      <c r="BE42" s="284"/>
      <c r="BF42" s="275"/>
      <c r="BG42" s="287">
        <f>SUM(BG11:BG40)/30</f>
        <v>-1.600118303304349E-2</v>
      </c>
      <c r="BH42" s="170">
        <f>SUM(BH11:BH40)/30</f>
        <v>8.2011999999999918E-3</v>
      </c>
      <c r="BI42" s="284"/>
      <c r="BJ42" s="275"/>
      <c r="BK42" s="287">
        <f>SUM(BK11:BK40)/30</f>
        <v>-3.2002366066086974E-2</v>
      </c>
      <c r="BL42" s="170">
        <f>SUM(BL11:BL40)/30</f>
        <v>8.2011999999999918E-3</v>
      </c>
      <c r="BM42" s="284"/>
      <c r="BN42" s="275"/>
      <c r="BO42" s="287">
        <f>SUM(BO11:BO40)/30</f>
        <v>-3.2002366066086946E-2</v>
      </c>
      <c r="BP42" s="170">
        <f>SUM(BP11:BP40)/30</f>
        <v>8.2011999999999918E-3</v>
      </c>
      <c r="BQ42" s="284"/>
      <c r="BR42" s="275"/>
      <c r="BS42" s="287">
        <f>SUM(BS11:BS40)/30</f>
        <v>-3.2002366066086987E-2</v>
      </c>
      <c r="BT42" s="170">
        <f>SUM(BT11:BT40)/30</f>
        <v>8.2011999999999918E-3</v>
      </c>
      <c r="BU42" s="284"/>
      <c r="BV42" s="275"/>
      <c r="BW42" s="327">
        <f>SUM(BW11:BW40)/30</f>
        <v>-3.2002366066086939E-2</v>
      </c>
      <c r="BX42" s="330"/>
      <c r="BY42" s="330"/>
      <c r="BZ42" s="330"/>
      <c r="CB42" s="335">
        <f t="shared" ref="CB42:CB43" si="220">SUM(AP42:AY42)</f>
        <v>-0.322021</v>
      </c>
      <c r="CC42" s="331">
        <f>SUM(AP42:BA42)</f>
        <v>-0.31776852592592592</v>
      </c>
      <c r="CD42" s="331">
        <f t="shared" ref="CD42:CD43" si="221">SUM(AP42:BE42)</f>
        <v>-0.32951723488489532</v>
      </c>
      <c r="CE42" s="331">
        <f t="shared" ref="CE42:CE43" si="222">SUM(AP42:BI42)</f>
        <v>-0.33731721791793878</v>
      </c>
      <c r="CF42" s="331">
        <f t="shared" ref="CF42:CF43" si="223">SUM(AP42:BM42)</f>
        <v>-0.36111838398402574</v>
      </c>
      <c r="CG42" s="331">
        <f t="shared" ref="CG42:CG43" si="224">SUM(AP42:BQ42)</f>
        <v>-0.38491955005011269</v>
      </c>
      <c r="CH42" s="331">
        <f t="shared" ref="CH42:CH43" si="225">SUM(AP42:BU42)</f>
        <v>-0.40872071611619964</v>
      </c>
      <c r="CI42" s="332" t="s">
        <v>202</v>
      </c>
      <c r="CJ42" s="336"/>
      <c r="DK42" s="290"/>
      <c r="JD42" s="5">
        <f>(JD10-0.1)/30</f>
        <v>2.8333333333333332E-2</v>
      </c>
    </row>
    <row r="43" spans="1:281">
      <c r="A43" s="689" t="s">
        <v>112</v>
      </c>
      <c r="B43" s="689"/>
      <c r="C43" s="689"/>
      <c r="D43" s="689"/>
      <c r="E43" s="689"/>
      <c r="F43" s="689"/>
      <c r="G43" s="235">
        <v>1</v>
      </c>
      <c r="H43" s="64">
        <f>$G78*(1-H$3-H$16-H$19-H$22-H$25-H$31-H$32-H$33)</f>
        <v>0.38904494608695633</v>
      </c>
      <c r="I43" s="64">
        <f>$G78*(1-I$3-I$16-I$19-I$22-I$25-I$31-I$32-I$33)</f>
        <v>0.38963939652173912</v>
      </c>
      <c r="J43" s="64">
        <f>$G78*(1-J$3-J$16-J$19-J$22-J$25-J$31-J$32-J$33)</f>
        <v>0.38794749913043475</v>
      </c>
      <c r="K43" s="64"/>
      <c r="M43" s="235">
        <v>1</v>
      </c>
      <c r="N43" s="235"/>
      <c r="O43" s="64">
        <f>$G101*(1-H$3-H$16-H$19-H$22-H$25-H$31-H$32-H$33)</f>
        <v>0.19888004869565207</v>
      </c>
      <c r="P43" s="64">
        <f>$G101*(1-I$3-I$16-I$19-I$22-I$25-I$31-I$32-I$33)</f>
        <v>0.19918393217391306</v>
      </c>
      <c r="Q43" s="64">
        <f>$G101*(1-J$3-J$16-J$19-J$22-J$25-J$31-J$32-J$33)</f>
        <v>0.19831903304347825</v>
      </c>
      <c r="AO43" s="89" t="s">
        <v>172</v>
      </c>
      <c r="AP43" s="64">
        <f>SUM(AP11:AP20)/10</f>
        <v>-5.28E-3</v>
      </c>
      <c r="AQ43" s="64">
        <f t="shared" ref="AQ43:AS43" si="226">SUM(AQ11:AQ20)/10</f>
        <v>-9.0000000000000008E-4</v>
      </c>
      <c r="AR43" s="64">
        <f t="shared" si="226"/>
        <v>-1.8173076923076921E-3</v>
      </c>
      <c r="AS43" s="64">
        <f t="shared" si="226"/>
        <v>-3.2142857142857147E-4</v>
      </c>
      <c r="AU43" s="64">
        <f t="shared" ref="AU43:AW43" si="227">SUM(AU11:AU20)/10</f>
        <v>-9.2335766423357699E-3</v>
      </c>
      <c r="AV43" s="64">
        <f t="shared" si="227"/>
        <v>-1.913625304136253E-2</v>
      </c>
      <c r="AW43" s="64">
        <f t="shared" si="227"/>
        <v>-4.4963503649635035E-2</v>
      </c>
      <c r="AY43" s="64">
        <f t="shared" ref="AY43:AZ43" si="228">SUM(AY11:AY20)/10</f>
        <v>-2.7448235294117634E-2</v>
      </c>
      <c r="AZ43" s="64">
        <f t="shared" si="228"/>
        <v>1.1311999999999993E-3</v>
      </c>
      <c r="BA43" s="285"/>
      <c r="BB43" s="273"/>
      <c r="BC43" s="279">
        <f t="shared" ref="BC43" si="229">SUM(BC11:BC20)/10</f>
        <v>-3.172881099130432E-3</v>
      </c>
      <c r="BD43" s="64">
        <f t="shared" ref="BD43:BT43" si="230">SUM(BD11:BD20)/10</f>
        <v>1.1311999999999993E-3</v>
      </c>
      <c r="BE43" s="285"/>
      <c r="BF43" s="273"/>
      <c r="BG43" s="279">
        <f t="shared" ref="BG43" si="231">SUM(BG11:BG20)/10</f>
        <v>-3.1728810991304367E-3</v>
      </c>
      <c r="BH43" s="64">
        <f t="shared" si="230"/>
        <v>2.1815999999999993E-3</v>
      </c>
      <c r="BI43" s="285"/>
      <c r="BJ43" s="273"/>
      <c r="BK43" s="279">
        <f t="shared" ref="BK43" si="232">SUM(BK11:BK20)/10</f>
        <v>-6.3457621982608726E-3</v>
      </c>
      <c r="BL43" s="64">
        <f t="shared" si="230"/>
        <v>2.1815999999999993E-3</v>
      </c>
      <c r="BM43" s="285"/>
      <c r="BN43" s="273"/>
      <c r="BO43" s="279">
        <f t="shared" ref="BO43" si="233">SUM(BO11:BO20)/10</f>
        <v>-6.3457621982608665E-3</v>
      </c>
      <c r="BP43" s="64">
        <f t="shared" si="230"/>
        <v>2.1815999999999993E-3</v>
      </c>
      <c r="BQ43" s="285"/>
      <c r="BR43" s="273"/>
      <c r="BS43" s="279">
        <f t="shared" ref="BS43" si="234">SUM(BS11:BS20)/10</f>
        <v>-6.3457621982608734E-3</v>
      </c>
      <c r="BT43" s="64">
        <f t="shared" si="230"/>
        <v>2.1815999999999993E-3</v>
      </c>
      <c r="BU43" s="285"/>
      <c r="BV43" s="273"/>
      <c r="BW43" s="328">
        <f t="shared" ref="BW43" si="235">SUM(BW11:BW20)/10</f>
        <v>-6.3457621982608656E-3</v>
      </c>
      <c r="BX43" s="64"/>
      <c r="BY43" s="64"/>
      <c r="BZ43" s="64"/>
      <c r="CB43" s="337">
        <f t="shared" si="220"/>
        <v>-0.10910030489118724</v>
      </c>
      <c r="CC43" s="292">
        <f>SUM(AP43:BA43)</f>
        <v>-0.10796910489118725</v>
      </c>
      <c r="CD43" s="292">
        <f t="shared" si="221"/>
        <v>-0.11001078599031767</v>
      </c>
      <c r="CE43" s="292">
        <f t="shared" si="222"/>
        <v>-0.11100206708944811</v>
      </c>
      <c r="CF43" s="292">
        <f t="shared" si="223"/>
        <v>-0.11516622928770898</v>
      </c>
      <c r="CG43" s="292">
        <f t="shared" si="224"/>
        <v>-0.11933039148596984</v>
      </c>
      <c r="CH43" s="292">
        <f t="shared" si="225"/>
        <v>-0.12349455368423071</v>
      </c>
      <c r="CI43" s="291" t="s">
        <v>201</v>
      </c>
      <c r="CJ43" s="338"/>
      <c r="DK43" s="290"/>
    </row>
    <row r="44" spans="1:281" ht="15" thickBot="1">
      <c r="A44" s="259">
        <f>'1 StrategyMix for CarbonTargets'!V43</f>
        <v>0.2</v>
      </c>
      <c r="B44" s="247"/>
      <c r="C44" s="247"/>
      <c r="D44" s="247"/>
      <c r="E44" s="247"/>
      <c r="F44" s="247"/>
      <c r="AO44" s="86" t="s">
        <v>180</v>
      </c>
      <c r="AP44" s="111">
        <f>AP4</f>
        <v>-2.8799999999999999E-2</v>
      </c>
      <c r="AQ44" s="111">
        <f>AQ4</f>
        <v>-7.000000000000001E-3</v>
      </c>
      <c r="AR44" s="111">
        <f>AR4</f>
        <v>-2.2499999999999999E-2</v>
      </c>
      <c r="AS44" s="111">
        <f>AS4</f>
        <v>-6.7500000000000004E-2</v>
      </c>
      <c r="AT44" s="87"/>
      <c r="AU44" s="111">
        <f>AU4</f>
        <v>-5.0364963503649648E-2</v>
      </c>
      <c r="AV44" s="111">
        <f>AV4</f>
        <v>-0.10437956204379562</v>
      </c>
      <c r="AW44" s="111">
        <f>AW4</f>
        <v>-0.24525547445255474</v>
      </c>
      <c r="AX44" s="87"/>
      <c r="AY44" s="111">
        <f>AY4</f>
        <v>-8.4839999999999971E-2</v>
      </c>
      <c r="AZ44" s="111">
        <f>AZ4</f>
        <v>8.4839999999999968E-3</v>
      </c>
      <c r="BA44" s="286"/>
      <c r="BB44" s="281"/>
      <c r="BC44" s="115">
        <f>BC4</f>
        <v>0</v>
      </c>
      <c r="BD44" s="111">
        <f>BD4</f>
        <v>8.4839999999999968E-3</v>
      </c>
      <c r="BE44" s="286"/>
      <c r="BF44" s="281"/>
      <c r="BG44" s="115">
        <f>BG4</f>
        <v>0</v>
      </c>
      <c r="BH44" s="111">
        <f>BH4</f>
        <v>1.6967999999999994E-2</v>
      </c>
      <c r="BI44" s="286"/>
      <c r="BJ44" s="281"/>
      <c r="BK44" s="115">
        <f>BK4</f>
        <v>0</v>
      </c>
      <c r="BL44" s="111">
        <f>BL4</f>
        <v>1.6967999999999994E-2</v>
      </c>
      <c r="BM44" s="286"/>
      <c r="BN44" s="281"/>
      <c r="BO44" s="115">
        <f>BO4</f>
        <v>0</v>
      </c>
      <c r="BP44" s="111">
        <f>BP4</f>
        <v>1.6967999999999994E-2</v>
      </c>
      <c r="BQ44" s="286"/>
      <c r="BR44" s="281"/>
      <c r="BS44" s="115">
        <f>BS4</f>
        <v>0</v>
      </c>
      <c r="BT44" s="111">
        <f>BT4</f>
        <v>1.6967999999999994E-2</v>
      </c>
      <c r="BU44" s="286"/>
      <c r="BV44" s="281"/>
      <c r="BW44" s="329">
        <f>BW4</f>
        <v>0</v>
      </c>
      <c r="BX44" s="5"/>
      <c r="BY44" s="5"/>
      <c r="BZ44" s="5"/>
      <c r="CB44" s="279">
        <f>CB40</f>
        <v>-0.61064000000000007</v>
      </c>
      <c r="CC44" s="64">
        <f t="shared" ref="CC44:CH44" si="236">CC40</f>
        <v>-0.64063652769082124</v>
      </c>
      <c r="CD44" s="64">
        <f t="shared" si="236"/>
        <v>-0.67063305538164253</v>
      </c>
      <c r="CE44" s="64">
        <f t="shared" si="236"/>
        <v>-0.73125455520772953</v>
      </c>
      <c r="CF44" s="64">
        <f t="shared" si="236"/>
        <v>-0.79187605503381642</v>
      </c>
      <c r="CG44" s="64">
        <f t="shared" si="236"/>
        <v>-0.85249755485990353</v>
      </c>
      <c r="CH44" s="64">
        <f t="shared" si="236"/>
        <v>-0.91311905468599053</v>
      </c>
      <c r="CI44" t="s">
        <v>200</v>
      </c>
      <c r="CJ44" s="240"/>
      <c r="DK44" s="290"/>
    </row>
    <row r="45" spans="1:281">
      <c r="A45" s="247"/>
      <c r="B45" s="247"/>
      <c r="C45" s="247"/>
      <c r="D45" s="247"/>
      <c r="E45" s="247"/>
      <c r="F45" s="247"/>
      <c r="CB45" s="279">
        <f>CB20</f>
        <v>-0.20324580909286791</v>
      </c>
      <c r="CC45" s="64">
        <f t="shared" ref="CC45:CH45" si="237">CC20</f>
        <v>-0.20820427479335099</v>
      </c>
      <c r="CD45" s="64">
        <f t="shared" si="237"/>
        <v>-0.21316274049383407</v>
      </c>
      <c r="CE45" s="64">
        <f t="shared" si="237"/>
        <v>-0.22325922745035581</v>
      </c>
      <c r="CF45" s="64">
        <f t="shared" si="237"/>
        <v>-0.23335571440687755</v>
      </c>
      <c r="CG45" s="64">
        <f t="shared" si="237"/>
        <v>-0.24345220136339932</v>
      </c>
      <c r="CH45" s="64">
        <f t="shared" si="237"/>
        <v>-0.25354868831992106</v>
      </c>
      <c r="CI45" t="s">
        <v>199</v>
      </c>
      <c r="CJ45" s="240"/>
      <c r="DK45" s="290"/>
    </row>
    <row r="46" spans="1:281" ht="26.5" customHeight="1">
      <c r="A46" s="689"/>
      <c r="B46" s="689"/>
      <c r="C46" s="689"/>
      <c r="D46" s="689"/>
      <c r="E46" s="689"/>
      <c r="F46" s="689"/>
      <c r="G46" s="234" t="s">
        <v>116</v>
      </c>
      <c r="H46" s="711" t="s">
        <v>150</v>
      </c>
      <c r="I46" s="712"/>
      <c r="J46" s="712"/>
      <c r="K46" s="289"/>
      <c r="M46" s="234" t="s">
        <v>116</v>
      </c>
      <c r="N46" s="234"/>
      <c r="O46" s="711" t="s">
        <v>150</v>
      </c>
      <c r="P46" s="712"/>
      <c r="Q46" s="712"/>
      <c r="CB46" s="339">
        <f>CB44+'1 StrategyMix for CarbonTargets'!$V$6</f>
        <v>-0.66064000000000012</v>
      </c>
      <c r="CC46" s="333">
        <f>CC44+'1 StrategyMix for CarbonTargets'!$V$6</f>
        <v>-0.69063652769082129</v>
      </c>
      <c r="CD46" s="333">
        <f>CD44+'1 StrategyMix for CarbonTargets'!$V$6</f>
        <v>-0.72063305538164257</v>
      </c>
      <c r="CE46" s="333">
        <f>CE44+'1 StrategyMix for CarbonTargets'!$V$6</f>
        <v>-0.78125455520772957</v>
      </c>
      <c r="CF46" s="333">
        <f>CF44+'1 StrategyMix for CarbonTargets'!$V$6</f>
        <v>-0.84187605503381646</v>
      </c>
      <c r="CG46" s="333">
        <f>CG44+'1 StrategyMix for CarbonTargets'!$V$6</f>
        <v>-0.90249755485990357</v>
      </c>
      <c r="CH46" s="333">
        <f>CH44+'1 StrategyMix for CarbonTargets'!$V$6</f>
        <v>-0.96311905468599057</v>
      </c>
      <c r="CI46" s="334" t="s">
        <v>203</v>
      </c>
      <c r="CJ46" s="340"/>
      <c r="DK46" s="290"/>
    </row>
    <row r="47" spans="1:281" ht="15" thickBot="1">
      <c r="A47" s="259"/>
      <c r="B47" s="247"/>
      <c r="C47" s="247"/>
      <c r="D47" s="247"/>
      <c r="E47" s="247"/>
      <c r="F47" s="247"/>
      <c r="G47" s="235">
        <v>0</v>
      </c>
      <c r="H47" s="64">
        <f>$A83*(1-H$3-H$16-H$19-H$22-H$25-H$31-H$32-H$33)</f>
        <v>4.2539999999999967E-2</v>
      </c>
      <c r="I47" s="64">
        <f>$A83*(1-I$3-I$16-I$19-I$22-I$25-I$31-I$32-I$33)</f>
        <v>4.260499999999999E-2</v>
      </c>
      <c r="J47" s="64">
        <f>$A83*(1-J$3-J$16-J$19-J$22-J$25-J$31-J$32-J$33)</f>
        <v>4.2419999999999985E-2</v>
      </c>
      <c r="K47" s="64"/>
      <c r="M47" s="235">
        <v>0</v>
      </c>
      <c r="N47" s="235"/>
      <c r="O47" s="64">
        <f>$A106*(1-H$3-H$16-H$19-H$22-H$25-H$31-H$32-H$33)</f>
        <v>4.2539999999999967E-2</v>
      </c>
      <c r="P47" s="64">
        <f>$A106*(1-I$3-I$16-I$19-I$22-I$25-I$31-I$32-I$33)</f>
        <v>4.260499999999999E-2</v>
      </c>
      <c r="Q47" s="64">
        <f>$A106*(1-J$3-J$16-J$19-J$22-J$25-J$31-J$32-J$33)</f>
        <v>4.2419999999999985E-2</v>
      </c>
      <c r="CB47" s="341">
        <f>CB45+'1 StrategyMix for CarbonTargets'!$V$6</f>
        <v>-0.25324580909286792</v>
      </c>
      <c r="CC47" s="342">
        <f>CC45+'1 StrategyMix for CarbonTargets'!$V$6</f>
        <v>-0.25820427479335101</v>
      </c>
      <c r="CD47" s="342">
        <f>CD45+'1 StrategyMix for CarbonTargets'!$V$6</f>
        <v>-0.26316274049383409</v>
      </c>
      <c r="CE47" s="342">
        <f>CE45+'1 StrategyMix for CarbonTargets'!$V$6</f>
        <v>-0.2732592274503558</v>
      </c>
      <c r="CF47" s="342">
        <f>CF45+'1 StrategyMix for CarbonTargets'!$V$6</f>
        <v>-0.28335571440687757</v>
      </c>
      <c r="CG47" s="342">
        <f>CG45+'1 StrategyMix for CarbonTargets'!$V$6</f>
        <v>-0.29345220136339933</v>
      </c>
      <c r="CH47" s="342">
        <f>CH45+'1 StrategyMix for CarbonTargets'!$V$6</f>
        <v>-0.30354868831992105</v>
      </c>
      <c r="CI47" s="343" t="s">
        <v>204</v>
      </c>
      <c r="CJ47" s="344"/>
      <c r="DK47" s="290"/>
    </row>
    <row r="48" spans="1:281">
      <c r="A48" s="247"/>
      <c r="B48" s="247"/>
      <c r="C48" s="247"/>
      <c r="D48" s="247"/>
      <c r="E48" s="247"/>
      <c r="F48" s="247"/>
      <c r="G48" s="235">
        <v>0.1</v>
      </c>
      <c r="H48" s="64">
        <f>$B83*(1-H$3-H$16-H$19-H$22-H$25-H$31-H$32-H$33)</f>
        <v>7.7190494608695606E-2</v>
      </c>
      <c r="I48" s="64">
        <f>$B83*(1-I$3-I$16-I$19-I$22-I$25-I$31-I$32-I$33)</f>
        <v>7.7308439652173905E-2</v>
      </c>
      <c r="J48" s="64">
        <f>$B83*(1-J$3-J$16-J$19-J$22-J$25-J$31-J$32-J$33)</f>
        <v>7.6972749913043467E-2</v>
      </c>
      <c r="K48" s="64"/>
      <c r="M48" s="235">
        <v>0.1</v>
      </c>
      <c r="N48" s="235"/>
      <c r="O48" s="64">
        <f>$B106*(1-H$3-H$16-H$19-H$22-H$25-H$31-H$32-H$33)</f>
        <v>5.8174004869565178E-2</v>
      </c>
      <c r="P48" s="64">
        <f>$B106*(1-I$3-I$16-I$19-I$22-I$25-I$31-I$32-I$33)</f>
        <v>5.8262893217391296E-2</v>
      </c>
      <c r="Q48" s="64">
        <f>$B106*(1-J$3-J$16-J$19-J$22-J$25-J$31-J$32-J$33)</f>
        <v>5.8009903304347812E-2</v>
      </c>
      <c r="DK48" s="290"/>
    </row>
    <row r="49" spans="1:115">
      <c r="A49" s="689" t="s">
        <v>113</v>
      </c>
      <c r="B49" s="689"/>
      <c r="C49" s="689"/>
      <c r="D49" s="689"/>
      <c r="E49" s="689"/>
      <c r="F49" s="689"/>
      <c r="G49" s="235">
        <v>0.2</v>
      </c>
      <c r="H49" s="64">
        <f>$C83*(1-H$3-H$16-H$19-H$22-H$25-H$31-H$32-H$33)</f>
        <v>0.11184098921739119</v>
      </c>
      <c r="I49" s="64">
        <f>$C83*(1-I$3-I$16-I$19-I$22-I$25-I$31-I$32-I$33)</f>
        <v>0.11201187930434776</v>
      </c>
      <c r="J49" s="64">
        <f>$C83*(1-J$3-J$16-J$19-J$22-J$25-J$31-J$32-J$33)</f>
        <v>0.11152549982608689</v>
      </c>
      <c r="K49" s="64"/>
      <c r="M49" s="235">
        <v>0.2</v>
      </c>
      <c r="N49" s="235"/>
      <c r="O49" s="64">
        <f>$C106*(1-H$3-H$16-H$19-H$22-H$25-H$31-H$32-H$33)</f>
        <v>7.3808009739130348E-2</v>
      </c>
      <c r="P49" s="64">
        <f>$C106*(1-I$3-I$16-I$19-I$22-I$25-I$31-I$32-I$33)</f>
        <v>7.3920786434782559E-2</v>
      </c>
      <c r="Q49" s="64">
        <f>$C106*(1-J$3-J$16-J$19-J$22-J$25-J$31-J$32-J$33)</f>
        <v>7.3599806608695598E-2</v>
      </c>
      <c r="DK49" s="290"/>
    </row>
    <row r="50" spans="1:115">
      <c r="A50" s="259">
        <f>'1 StrategyMix for CarbonTargets'!V40</f>
        <v>0.2</v>
      </c>
      <c r="B50" s="247"/>
      <c r="C50" s="247"/>
      <c r="D50" s="247"/>
      <c r="E50" s="247"/>
      <c r="F50" s="247"/>
      <c r="G50" s="235">
        <v>0.4</v>
      </c>
      <c r="H50" s="64">
        <f>$D83*(1-H$3-H$16-H$19-H$22-H$25-H$31-H$32-H$33)</f>
        <v>0.18114197843478252</v>
      </c>
      <c r="I50" s="64">
        <f>$D83*(1-I$3-I$16-I$19-I$22-I$25-I$31-I$32-I$33)</f>
        <v>0.18141875860869566</v>
      </c>
      <c r="J50" s="64">
        <f>$D83*(1-J$3-J$16-J$19-J$22-J$25-J$31-J$32-J$33)</f>
        <v>0.18063099965217391</v>
      </c>
      <c r="K50" s="64"/>
      <c r="M50" s="235">
        <v>0.4</v>
      </c>
      <c r="N50" s="235"/>
      <c r="O50" s="64">
        <f>$D106*(1-H$3-H$16-H$19-H$22-H$25-H$31-H$32-H$33)</f>
        <v>0.10507601947826081</v>
      </c>
      <c r="P50" s="64">
        <f>$D106*(1-I$3-I$16-I$19-I$22-I$25-I$31-I$32-I$33)</f>
        <v>0.10523657286956521</v>
      </c>
      <c r="Q50" s="64">
        <f>$D106*(1-J$3-J$16-J$19-J$22-J$25-J$31-J$32-J$33)</f>
        <v>0.10477961321739129</v>
      </c>
      <c r="DK50" s="290"/>
    </row>
    <row r="51" spans="1:115">
      <c r="A51" s="247"/>
      <c r="B51" s="247"/>
      <c r="C51" s="247"/>
      <c r="D51" s="247"/>
      <c r="E51" s="247"/>
      <c r="F51" s="247"/>
      <c r="G51" s="235">
        <v>0.6</v>
      </c>
      <c r="H51" s="64">
        <f>$E83*(1-H$3-H$16-H$19-H$22-H$25-H$31-H$32-H$33)</f>
        <v>0.25044296765217372</v>
      </c>
      <c r="I51" s="64">
        <f>$E83*(1-I$3-I$16-I$19-I$22-I$25-I$31-I$32-I$33)</f>
        <v>0.25082563791304341</v>
      </c>
      <c r="J51" s="64">
        <f>$E83*(1-J$3-J$16-J$19-J$22-J$25-J$31-J$32-J$33)</f>
        <v>0.24973649947826079</v>
      </c>
      <c r="K51" s="64"/>
      <c r="M51" s="235">
        <v>0.6</v>
      </c>
      <c r="N51" s="235"/>
      <c r="O51" s="64">
        <f>$E106*(1-H$3-H$16-H$19-H$22-H$25-H$31-H$32-H$33)</f>
        <v>0.13634402921739119</v>
      </c>
      <c r="P51" s="64">
        <f>$E106*(1-I$3-I$16-I$19-I$22-I$25-I$31-I$32-I$33)</f>
        <v>0.13655235930434778</v>
      </c>
      <c r="Q51" s="64">
        <f>$E106*(1-J$3-J$16-J$19-J$22-J$25-J$31-J$32-J$33)</f>
        <v>0.13595941982608692</v>
      </c>
      <c r="DK51" s="290"/>
    </row>
    <row r="52" spans="1:115">
      <c r="A52" s="689"/>
      <c r="B52" s="689"/>
      <c r="C52" s="689"/>
      <c r="D52" s="689"/>
      <c r="E52" s="689"/>
      <c r="F52" s="689"/>
      <c r="G52" s="235">
        <v>0.8</v>
      </c>
      <c r="H52" s="64">
        <f>$F83*(1-H$3-H$16-H$19-H$22-H$25-H$31-H$32-H$33)</f>
        <v>0.31974395686956508</v>
      </c>
      <c r="I52" s="64">
        <f>$F83*(1-I$3-I$16-I$19-I$22-I$25-I$31-I$32-I$33)</f>
        <v>0.32023251721739132</v>
      </c>
      <c r="J52" s="64">
        <f>$F83*(1-J$3-J$16-J$19-J$22-J$25-J$31-J$32-J$33)</f>
        <v>0.31884199930434781</v>
      </c>
      <c r="K52" s="64"/>
      <c r="M52" s="235">
        <v>0.8</v>
      </c>
      <c r="N52" s="235"/>
      <c r="O52" s="64">
        <f>$F106*(1-H$3-H$16-H$19-H$22-H$25-H$31-H$32-H$33)</f>
        <v>0.16761203895652166</v>
      </c>
      <c r="P52" s="64">
        <f>$F106*(1-I$3-I$16-I$19-I$22-I$25-I$31-I$32-I$33)</f>
        <v>0.16786814573913045</v>
      </c>
      <c r="Q52" s="64">
        <f>$F106*(1-J$3-J$16-J$19-J$22-J$25-J$31-J$32-J$33)</f>
        <v>0.1671392264347826</v>
      </c>
      <c r="DK52" s="290"/>
    </row>
    <row r="53" spans="1:115">
      <c r="A53" s="259"/>
      <c r="B53" s="247"/>
      <c r="C53" s="247"/>
      <c r="D53" s="247"/>
      <c r="E53" s="247"/>
      <c r="F53" s="247"/>
      <c r="G53" s="235">
        <v>1</v>
      </c>
      <c r="H53" s="64">
        <f>$G83*(1-H$3-H$16-H$19-H$22-H$25-H$31-H$32-H$33)</f>
        <v>0.38904494608695633</v>
      </c>
      <c r="I53" s="64">
        <f>$G83*(1-I$3-I$16-I$19-I$22-I$25-I$31-I$32-I$33)</f>
        <v>0.38963939652173912</v>
      </c>
      <c r="J53" s="64">
        <f>$G83*(1-J$3-J$16-J$19-J$22-J$25-J$31-J$32-J$33)</f>
        <v>0.38794749913043475</v>
      </c>
      <c r="K53" s="64"/>
      <c r="M53" s="235">
        <v>1</v>
      </c>
      <c r="N53" s="235"/>
      <c r="O53" s="64">
        <f>$G106*(1-H$3-H$16-H$19-H$22-H$25-H$31-H$32-H$33)</f>
        <v>0.19888004869565207</v>
      </c>
      <c r="P53" s="64">
        <f>$G106*(1-I$3-I$16-I$19-I$22-I$25-I$31-I$32-I$33)</f>
        <v>0.19918393217391306</v>
      </c>
      <c r="Q53" s="64">
        <f>$G106*(1-J$3-J$16-J$19-J$22-J$25-J$31-J$32-J$33)</f>
        <v>0.19831903304347825</v>
      </c>
      <c r="DK53" s="290"/>
    </row>
    <row r="54" spans="1:115">
      <c r="A54" s="259"/>
      <c r="B54" s="247"/>
      <c r="C54" s="247"/>
      <c r="D54" s="247"/>
      <c r="E54" s="247"/>
      <c r="F54" s="247"/>
      <c r="DK54" s="290"/>
    </row>
    <row r="55" spans="1:115">
      <c r="A55" s="3"/>
      <c r="DK55" s="290"/>
    </row>
    <row r="56" spans="1:115" ht="26.5" customHeight="1">
      <c r="A56" s="3"/>
      <c r="G56" s="234" t="s">
        <v>116</v>
      </c>
      <c r="H56" s="711" t="s">
        <v>151</v>
      </c>
      <c r="I56" s="712"/>
      <c r="J56" s="712"/>
      <c r="K56" s="289"/>
      <c r="M56" s="234" t="s">
        <v>116</v>
      </c>
      <c r="N56" s="234"/>
      <c r="O56" s="711" t="s">
        <v>151</v>
      </c>
      <c r="P56" s="712"/>
      <c r="Q56" s="712"/>
      <c r="DK56" s="290"/>
    </row>
    <row r="57" spans="1:115">
      <c r="A57" s="3"/>
      <c r="G57" s="235">
        <v>0</v>
      </c>
      <c r="H57" s="64">
        <f>$A88*(1-H$3-H$16-H$19-H$22-H$25-H$31-H$32-H$33)</f>
        <v>8.5079999999999933E-2</v>
      </c>
      <c r="I57" s="64">
        <f>$A88*(1-I$3-I$16-I$19-I$22-I$25-I$31-I$32-I$33)</f>
        <v>8.520999999999998E-2</v>
      </c>
      <c r="J57" s="64">
        <f>$A88*(1-J$3-J$16-J$19-J$22-J$25-J$31-J$32-J$33)</f>
        <v>8.4839999999999971E-2</v>
      </c>
      <c r="K57" s="64"/>
      <c r="M57" s="235">
        <v>0</v>
      </c>
      <c r="N57" s="235"/>
      <c r="O57" s="64">
        <f>$A111*(1-H$3-H$16-H$19-H$22-H$25-H$31-H$32-H$33)</f>
        <v>8.5079999999999933E-2</v>
      </c>
      <c r="P57" s="64">
        <f>$A111*(1-I$3-I$16-I$19-I$22-I$25-I$31-I$32-I$33)</f>
        <v>8.520999999999998E-2</v>
      </c>
      <c r="Q57" s="64">
        <f>$A111*(1-J$3-J$16-J$19-J$22-J$25-J$31-J$32-J$33)</f>
        <v>8.4839999999999971E-2</v>
      </c>
      <c r="DK57" s="290"/>
    </row>
    <row r="58" spans="1:115">
      <c r="A58" s="3"/>
      <c r="G58" s="235">
        <v>0.1</v>
      </c>
      <c r="H58" s="64">
        <f>$B88*(1-H$3-H$16-H$19-H$22-H$25-H$31-H$32-H$33)</f>
        <v>0.11547649460869555</v>
      </c>
      <c r="I58" s="64">
        <f>$B88*(1-I$3-I$16-I$19-I$22-I$25-I$31-I$32-I$33)</f>
        <v>0.11565293965217387</v>
      </c>
      <c r="J58" s="64">
        <f>$B88*(1-J$3-J$16-J$19-J$22-J$25-J$31-J$32-J$33)</f>
        <v>0.11515074991304343</v>
      </c>
      <c r="K58" s="64"/>
      <c r="M58" s="235">
        <v>0.1</v>
      </c>
      <c r="N58" s="235"/>
      <c r="O58" s="64">
        <f>$B111*(1-H$3-H$16-H$19-H$22-H$25-H$31-H$32-H$33)</f>
        <v>9.6460004869565116E-2</v>
      </c>
      <c r="P58" s="64">
        <f>$B111*(1-I$3-I$16-I$19-I$22-I$25-I$31-I$32-I$33)</f>
        <v>9.6607393217391258E-2</v>
      </c>
      <c r="Q58" s="64">
        <f>$B111*(1-J$3-J$16-J$19-J$22-J$25-J$31-J$32-J$33)</f>
        <v>9.6187903304347774E-2</v>
      </c>
      <c r="DK58" s="290"/>
    </row>
    <row r="59" spans="1:115">
      <c r="A59" s="3"/>
      <c r="G59" s="235">
        <v>0.2</v>
      </c>
      <c r="H59" s="64">
        <f>$C88*(1-H$3-H$16-H$19-H$22-H$25-H$31-H$32-H$33)</f>
        <v>0.14587298921739117</v>
      </c>
      <c r="I59" s="64">
        <f>$C88*(1-I$3-I$16-I$19-I$22-I$25-I$31-I$32-I$33)</f>
        <v>0.14609587930434778</v>
      </c>
      <c r="J59" s="64">
        <f>$C88*(1-J$3-J$16-J$19-J$22-J$25-J$31-J$32-J$33)</f>
        <v>0.14546149982608689</v>
      </c>
      <c r="K59" s="64"/>
      <c r="M59" s="235">
        <v>0.2</v>
      </c>
      <c r="N59" s="235"/>
      <c r="O59" s="64">
        <f>$C111*(1-H$3-H$16-H$19-H$22-H$25-H$31-H$32-H$33)</f>
        <v>0.10784000973913035</v>
      </c>
      <c r="P59" s="64">
        <f>$C111*(1-I$3-I$16-I$19-I$22-I$25-I$31-I$32-I$33)</f>
        <v>0.10800478643478258</v>
      </c>
      <c r="Q59" s="64">
        <f>$C111*(1-J$3-J$16-J$19-J$22-J$25-J$31-J$32-J$33)</f>
        <v>0.10753580660869562</v>
      </c>
      <c r="DK59" s="290"/>
    </row>
    <row r="60" spans="1:115">
      <c r="A60" s="3"/>
      <c r="G60" s="235">
        <v>0.4</v>
      </c>
      <c r="H60" s="64">
        <f>$D88*(1-H$3-H$16-H$19-H$22-H$25-H$31-H$32-H$33)</f>
        <v>0.20666597843478252</v>
      </c>
      <c r="I60" s="64">
        <f>$D88*(1-I$3-I$16-I$19-I$22-I$25-I$31-I$32-I$33)</f>
        <v>0.20698175860869567</v>
      </c>
      <c r="J60" s="64">
        <f>$D88*(1-J$3-J$16-J$19-J$22-J$25-J$31-J$32-J$33)</f>
        <v>0.20608299965217391</v>
      </c>
      <c r="K60" s="64"/>
      <c r="M60" s="235">
        <v>0.4</v>
      </c>
      <c r="N60" s="235"/>
      <c r="O60" s="64">
        <f>$D111*(1-H$3-H$16-H$19-H$22-H$25-H$31-H$32-H$33)</f>
        <v>0.1306000194782608</v>
      </c>
      <c r="P60" s="64">
        <f>$D111*(1-I$3-I$16-I$19-I$22-I$25-I$31-I$32-I$33)</f>
        <v>0.13079957286956523</v>
      </c>
      <c r="Q60" s="64">
        <f>$D111*(1-J$3-J$16-J$19-J$22-J$25-J$31-J$32-J$33)</f>
        <v>0.1302316132173913</v>
      </c>
      <c r="DK60" s="290"/>
    </row>
    <row r="61" spans="1:115">
      <c r="A61" s="3"/>
      <c r="G61" s="235">
        <v>0.6</v>
      </c>
      <c r="H61" s="64">
        <f>$E88*(1-H$3-H$16-H$19-H$22-H$25-H$31-H$32-H$33)</f>
        <v>0.26745896765217375</v>
      </c>
      <c r="I61" s="64">
        <f>$E88*(1-I$3-I$16-I$19-I$22-I$25-I$31-I$32-I$33)</f>
        <v>0.26786763791304347</v>
      </c>
      <c r="J61" s="64">
        <f>$E88*(1-J$3-J$16-J$19-J$22-J$25-J$31-J$32-J$33)</f>
        <v>0.2667044994782608</v>
      </c>
      <c r="K61" s="64"/>
      <c r="M61" s="235">
        <v>0.6</v>
      </c>
      <c r="N61" s="235"/>
      <c r="O61" s="64">
        <f>$E111*(1-H$3-H$16-H$19-H$22-H$25-H$31-H$32-H$33)</f>
        <v>0.1533600292173912</v>
      </c>
      <c r="P61" s="64">
        <f>$E111*(1-I$3-I$16-I$19-I$22-I$25-I$31-I$32-I$33)</f>
        <v>0.15359435930434781</v>
      </c>
      <c r="Q61" s="64">
        <f>$E111*(1-J$3-J$16-J$19-J$22-J$25-J$31-J$32-J$33)</f>
        <v>0.15292741982608693</v>
      </c>
      <c r="DK61" s="290"/>
    </row>
    <row r="62" spans="1:115">
      <c r="A62" s="3"/>
      <c r="G62" s="235">
        <v>0.8</v>
      </c>
      <c r="H62" s="64">
        <f>$F88*(1-H$3-H$16-H$19-H$22-H$25-H$31-H$32-H$33)</f>
        <v>0.32825195686956504</v>
      </c>
      <c r="I62" s="64">
        <f>$F88*(1-I$3-I$16-I$19-I$22-I$25-I$31-I$32-I$33)</f>
        <v>0.32875351721739132</v>
      </c>
      <c r="J62" s="64">
        <f>$F88*(1-J$3-J$16-J$19-J$22-J$25-J$31-J$32-J$33)</f>
        <v>0.3273259993043478</v>
      </c>
      <c r="K62" s="64"/>
      <c r="M62" s="235">
        <v>0.8</v>
      </c>
      <c r="N62" s="235"/>
      <c r="O62" s="64">
        <f>$F111*(1-H$3-H$16-H$19-H$22-H$25-H$31-H$32-H$33)</f>
        <v>0.17612003895652167</v>
      </c>
      <c r="P62" s="64">
        <f>$F111*(1-I$3-I$16-I$19-I$22-I$25-I$31-I$32-I$33)</f>
        <v>0.17638914573913045</v>
      </c>
      <c r="Q62" s="64">
        <f>$F111*(1-J$3-J$16-J$19-J$22-J$25-J$31-J$32-J$33)</f>
        <v>0.17562322643478262</v>
      </c>
      <c r="DK62" s="290"/>
    </row>
    <row r="63" spans="1:115">
      <c r="A63" s="3"/>
      <c r="G63" s="235">
        <v>1</v>
      </c>
      <c r="H63" s="64">
        <f>$G88*(1-H$3-H$16-H$19-H$22-H$25-H$31-H$32-H$33)</f>
        <v>0.38904494608695633</v>
      </c>
      <c r="I63" s="64">
        <f>$G88*(1-I$3-I$16-I$19-I$22-I$25-I$31-I$32-I$33)</f>
        <v>0.38963939652173912</v>
      </c>
      <c r="J63" s="64">
        <f>$G88*(1-J$3-J$16-J$19-J$22-J$25-J$31-J$32-J$33)</f>
        <v>0.38794749913043475</v>
      </c>
      <c r="K63" s="64"/>
      <c r="M63" s="235">
        <v>1</v>
      </c>
      <c r="N63" s="235"/>
      <c r="O63" s="64">
        <f>$G111*(1-H$3-H$16-H$19-H$22-H$25-H$31-H$32-H$33)</f>
        <v>0.19888004869565207</v>
      </c>
      <c r="P63" s="64">
        <f>$G111*(1-I$3-I$16-I$19-I$22-I$25-I$31-I$32-I$33)</f>
        <v>0.19918393217391306</v>
      </c>
      <c r="Q63" s="64">
        <f>$G111*(1-J$3-J$16-J$19-J$22-J$25-J$31-J$32-J$33)</f>
        <v>0.19831903304347825</v>
      </c>
      <c r="DK63" s="290"/>
    </row>
    <row r="64" spans="1:115">
      <c r="A64" s="3"/>
      <c r="DK64" s="290"/>
    </row>
    <row r="65" spans="1:115" ht="15" customHeight="1">
      <c r="A65" s="3"/>
      <c r="DK65" s="290"/>
    </row>
    <row r="66" spans="1:115" ht="28" customHeight="1">
      <c r="A66" s="3"/>
      <c r="G66" s="136" t="s">
        <v>116</v>
      </c>
      <c r="H66" s="711" t="s">
        <v>152</v>
      </c>
      <c r="I66" s="712"/>
      <c r="J66" s="712"/>
      <c r="K66" s="289"/>
      <c r="M66" s="234" t="s">
        <v>116</v>
      </c>
      <c r="N66" s="234"/>
      <c r="O66" s="711" t="s">
        <v>152</v>
      </c>
      <c r="P66" s="712"/>
      <c r="Q66" s="712"/>
      <c r="DK66" s="290"/>
    </row>
    <row r="67" spans="1:115" ht="15" customHeight="1">
      <c r="A67" s="3"/>
      <c r="G67" s="235">
        <v>0</v>
      </c>
      <c r="H67" s="64">
        <f>$A93*(1-H$3-H$16-H$19-H$22-H$25-H$31-H$32-H$33)</f>
        <v>0.12761999999999996</v>
      </c>
      <c r="I67" s="64">
        <f>$A93*(1-I$3-I$16-I$19-I$22-I$25-I$31-I$32-I$33)</f>
        <v>0.12781500000000001</v>
      </c>
      <c r="J67" s="64">
        <f>$A93*(1-J$3-J$16-J$19-J$22-J$25-J$31-J$32-J$33)</f>
        <v>0.12726000000000001</v>
      </c>
      <c r="K67" s="64"/>
      <c r="M67" s="235">
        <v>0</v>
      </c>
      <c r="N67" s="235"/>
      <c r="O67" s="64">
        <f>$A116*(1-H$3-H$16-H$19-H$22-H$25-H$31-H$32-H$33)</f>
        <v>0.12761999999999996</v>
      </c>
      <c r="P67" s="64">
        <f>$A116*(1-I$3-I$16-I$19-I$22-I$25-I$31-I$32-I$33)</f>
        <v>0.12781500000000001</v>
      </c>
      <c r="Q67" s="64">
        <f>$A116*(1-J$3-J$16-J$19-J$22-J$25-J$31-J$32-J$33)</f>
        <v>0.12726000000000001</v>
      </c>
      <c r="DK67" s="290"/>
    </row>
    <row r="68" spans="1:115" ht="16" customHeight="1">
      <c r="A68" s="3"/>
      <c r="G68" s="235">
        <v>0.1</v>
      </c>
      <c r="H68" s="64">
        <f>$B93*(1-H$3-H$16-H$19-H$22-H$25-H$31-H$32-H$33)</f>
        <v>0.15376249460869557</v>
      </c>
      <c r="I68" s="64">
        <f>$B93*(1-I$3-I$16-I$19-I$22-I$25-I$31-I$32-I$33)</f>
        <v>0.15399743965217388</v>
      </c>
      <c r="J68" s="64">
        <f>$B93*(1-J$3-J$16-J$19-J$22-J$25-J$31-J$32-J$33)</f>
        <v>0.15332874991304346</v>
      </c>
      <c r="K68" s="64"/>
      <c r="M68" s="235">
        <v>0.1</v>
      </c>
      <c r="N68" s="235"/>
      <c r="O68" s="64">
        <f>$B116*(1-H$3-H$16-H$19-H$22-H$25-H$31-H$32-H$33)</f>
        <v>0.13474600486956514</v>
      </c>
      <c r="P68" s="64">
        <f>$B116*(1-I$3-I$16-I$19-I$22-I$25-I$31-I$32-I$33)</f>
        <v>0.13495189321739132</v>
      </c>
      <c r="Q68" s="64">
        <f>$B116*(1-J$3-J$16-J$19-J$22-J$25-J$31-J$32-J$33)</f>
        <v>0.13436590330434783</v>
      </c>
      <c r="DK68" s="290"/>
    </row>
    <row r="69" spans="1:115">
      <c r="A69" s="3"/>
      <c r="G69" s="235">
        <v>0.2</v>
      </c>
      <c r="H69" s="64">
        <f>$C93*(1-H$3-H$16-H$19-H$22-H$25-H$31-H$32-H$33)</f>
        <v>0.1799049892173912</v>
      </c>
      <c r="I69" s="64">
        <f>$C93*(1-I$3-I$16-I$19-I$22-I$25-I$31-I$32-I$33)</f>
        <v>0.18017987930434781</v>
      </c>
      <c r="J69" s="64">
        <f>$C93*(1-J$3-J$16-J$19-J$22-J$25-J$31-J$32-J$33)</f>
        <v>0.17939749982608694</v>
      </c>
      <c r="K69" s="64"/>
      <c r="M69" s="235">
        <v>0.2</v>
      </c>
      <c r="N69" s="235"/>
      <c r="O69" s="64">
        <f>$C116*(1-H$3-H$16-H$19-H$22-H$25-H$31-H$32-H$33)</f>
        <v>0.14187200973913033</v>
      </c>
      <c r="P69" s="64">
        <f>$C116*(1-I$3-I$16-I$19-I$22-I$25-I$31-I$32-I$33)</f>
        <v>0.14208878643478259</v>
      </c>
      <c r="Q69" s="64">
        <f>$C116*(1-J$3-J$16-J$19-J$22-J$25-J$31-J$32-J$33)</f>
        <v>0.14147180660869563</v>
      </c>
      <c r="DK69" s="290"/>
    </row>
    <row r="70" spans="1:115">
      <c r="A70" s="3"/>
      <c r="G70" s="235">
        <v>0.4</v>
      </c>
      <c r="H70" s="64">
        <f>$D93*(1-H$3-H$16-H$19-H$22-H$25-H$31-H$32-H$33)</f>
        <v>0.23218997843478253</v>
      </c>
      <c r="I70" s="64">
        <f>$D93*(1-I$3-I$16-I$19-I$22-I$25-I$31-I$32-I$33)</f>
        <v>0.2325447586086957</v>
      </c>
      <c r="J70" s="64">
        <f>$D93*(1-J$3-J$16-J$19-J$22-J$25-J$31-J$32-J$33)</f>
        <v>0.23153499965217395</v>
      </c>
      <c r="K70" s="64"/>
      <c r="M70" s="235">
        <v>0.4</v>
      </c>
      <c r="N70" s="235"/>
      <c r="O70" s="64">
        <f>$D116*(1-H$3-H$16-H$19-H$22-H$25-H$31-H$32-H$33)</f>
        <v>0.15612401947826079</v>
      </c>
      <c r="P70" s="64">
        <f>$D116*(1-I$3-I$16-I$19-I$22-I$25-I$31-I$32-I$33)</f>
        <v>0.15636257286956523</v>
      </c>
      <c r="Q70" s="64">
        <f>$D116*(1-J$3-J$16-J$19-J$22-J$25-J$31-J$32-J$33)</f>
        <v>0.1556836132173913</v>
      </c>
      <c r="DK70" s="290"/>
    </row>
    <row r="71" spans="1:115">
      <c r="A71" s="3"/>
      <c r="G71" s="235">
        <v>0.6</v>
      </c>
      <c r="H71" s="64">
        <f>$E93*(1-H$3-H$16-H$19-H$22-H$25-H$31-H$32-H$33)</f>
        <v>0.28447496765217373</v>
      </c>
      <c r="I71" s="64">
        <f>$E93*(1-I$3-I$16-I$19-I$22-I$25-I$31-I$32-I$33)</f>
        <v>0.28490963791304347</v>
      </c>
      <c r="J71" s="64">
        <f>$E93*(1-J$3-J$16-J$19-J$22-J$25-J$31-J$32-J$33)</f>
        <v>0.28367249947826084</v>
      </c>
      <c r="K71" s="64"/>
      <c r="M71" s="235">
        <v>0.6</v>
      </c>
      <c r="N71" s="235"/>
      <c r="O71" s="64">
        <f>$E116*(1-H$3-H$16-H$19-H$22-H$25-H$31-H$32-H$33)</f>
        <v>0.17037602921739123</v>
      </c>
      <c r="P71" s="64">
        <f>$E116*(1-I$3-I$16-I$19-I$22-I$25-I$31-I$32-I$33)</f>
        <v>0.17063635930434784</v>
      </c>
      <c r="Q71" s="64">
        <f>$E116*(1-J$3-J$16-J$19-J$22-J$25-J$31-J$32-J$33)</f>
        <v>0.16989541982608697</v>
      </c>
      <c r="DK71" s="290"/>
    </row>
    <row r="72" spans="1:115">
      <c r="A72" s="3"/>
      <c r="G72" s="235">
        <v>0.8</v>
      </c>
      <c r="H72" s="64">
        <f>$F93*(1-H$3-H$16-H$19-H$22-H$25-H$31-H$32-H$33)</f>
        <v>0.33675995686956506</v>
      </c>
      <c r="I72" s="64">
        <f>$F93*(1-I$3-I$16-I$19-I$22-I$25-I$31-I$32-I$33)</f>
        <v>0.33727451721739132</v>
      </c>
      <c r="J72" s="64">
        <f>$F93*(1-J$3-J$16-J$19-J$22-J$25-J$31-J$32-J$33)</f>
        <v>0.33580999930434779</v>
      </c>
      <c r="K72" s="64"/>
      <c r="M72" s="235">
        <v>0.8</v>
      </c>
      <c r="N72" s="235"/>
      <c r="O72" s="64">
        <f>$F116*(1-H$3-H$16-H$19-H$22-H$25-H$31-H$32-H$33)</f>
        <v>0.18462803895652163</v>
      </c>
      <c r="P72" s="64">
        <f>$F116*(1-I$3-I$16-I$19-I$22-I$25-I$31-I$32-I$33)</f>
        <v>0.18491014573913042</v>
      </c>
      <c r="Q72" s="64">
        <f>$F116*(1-J$3-J$16-J$19-J$22-J$25-J$31-J$32-J$33)</f>
        <v>0.18410722643478258</v>
      </c>
      <c r="DK72" s="290"/>
    </row>
    <row r="73" spans="1:115">
      <c r="G73" s="235">
        <v>1</v>
      </c>
      <c r="H73" s="64">
        <f>$G93*(1-H$3-H$16-H$19-H$22-H$25-H$31-H$32-H$33)</f>
        <v>0.38904494608695633</v>
      </c>
      <c r="I73" s="64">
        <f>$G93*(1-I$3-I$16-I$19-I$22-I$25-I$31-I$32-I$33)</f>
        <v>0.38963939652173912</v>
      </c>
      <c r="J73" s="64">
        <f>$G93*(1-J$3-J$16-J$19-J$22-J$25-J$31-J$32-J$33)</f>
        <v>0.38794749913043475</v>
      </c>
      <c r="K73" s="64"/>
      <c r="M73" s="235">
        <v>1</v>
      </c>
      <c r="N73" s="235"/>
      <c r="O73" s="64">
        <f>$G116*(1-H$3-H$16-H$19-H$22-H$25-H$31-H$32-H$33)</f>
        <v>0.19888004869565207</v>
      </c>
      <c r="P73" s="64">
        <f>$G116*(1-I$3-I$16-I$19-I$22-I$25-I$31-I$32-I$33)</f>
        <v>0.19918393217391306</v>
      </c>
      <c r="Q73" s="64">
        <f>$G116*(1-J$3-J$16-J$19-J$22-J$25-J$31-J$32-J$33)</f>
        <v>0.19831903304347825</v>
      </c>
    </row>
    <row r="74" spans="1:115" ht="15" thickBot="1">
      <c r="A74" t="s">
        <v>175</v>
      </c>
    </row>
    <row r="75" spans="1:115">
      <c r="A75" s="228" t="s">
        <v>149</v>
      </c>
      <c r="B75" s="125"/>
      <c r="C75" s="125"/>
      <c r="D75" s="125"/>
      <c r="E75" s="125"/>
      <c r="F75" s="125"/>
      <c r="G75" s="229"/>
      <c r="BX75" s="559"/>
      <c r="BY75" s="559"/>
    </row>
    <row r="76" spans="1:115">
      <c r="A76" s="708" t="s">
        <v>145</v>
      </c>
      <c r="B76" s="583"/>
      <c r="C76" s="583"/>
      <c r="D76" s="583"/>
      <c r="E76" s="583"/>
      <c r="F76" s="583"/>
      <c r="G76" s="709"/>
      <c r="AX76" s="2"/>
      <c r="BA76" s="1"/>
      <c r="BB76" s="1"/>
      <c r="BC76" s="1"/>
      <c r="BE76" s="1"/>
      <c r="BF76" s="1"/>
      <c r="BG76" s="1"/>
      <c r="BI76" s="1"/>
      <c r="BJ76" s="1"/>
      <c r="BK76" s="1"/>
      <c r="BM76" s="1"/>
      <c r="BN76" s="1"/>
      <c r="BO76" s="1"/>
      <c r="BQ76" s="1"/>
      <c r="BR76" s="1"/>
      <c r="BS76" s="1"/>
      <c r="BU76" s="1"/>
      <c r="BV76" s="1"/>
      <c r="BW76" s="1"/>
      <c r="BX76" s="1"/>
      <c r="BY76" s="1"/>
    </row>
    <row r="77" spans="1:115" ht="15" thickBot="1">
      <c r="A77" s="230">
        <v>0</v>
      </c>
      <c r="B77" s="3">
        <v>0.1</v>
      </c>
      <c r="C77" s="3">
        <v>0.2</v>
      </c>
      <c r="D77" s="3">
        <v>0.4</v>
      </c>
      <c r="E77" s="3">
        <v>0.6</v>
      </c>
      <c r="F77" s="3">
        <v>0.8</v>
      </c>
      <c r="G77" s="85">
        <v>1</v>
      </c>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row>
    <row r="78" spans="1:115" ht="15" thickBot="1">
      <c r="A78" s="231" cm="1">
        <f t="array" ref="A78">INDEX(IMPROVE!AJ$9:AJ$52,MATCH(1,($A$38=IMPROVE!$A$9:$A$52)*($A$44=IMPROVE!$C$9:$C$52),0))</f>
        <v>0</v>
      </c>
      <c r="B78" s="232" cm="1">
        <f t="array" ref="B78">INDEX(IMPROVE!AK$9:AK$52,MATCH(1,($A$38=IMPROVE!$A$9:$A$52)*($A$44=IMPROVE!$C$9:$C$52),0))</f>
        <v>9.1453913043478219E-2</v>
      </c>
      <c r="C78" s="232" cm="1">
        <f t="array" ref="C78">INDEX(IMPROVE!AL$9:AL$52,MATCH(1,($A$38=IMPROVE!$A$9:$A$52)*($A$44=IMPROVE!$C$9:$C$52),0))</f>
        <v>0.18290782608695644</v>
      </c>
      <c r="D78" s="232" cm="1">
        <f t="array" ref="D78">INDEX(IMPROVE!AM$9:AM$52,MATCH(1,($A$38=IMPROVE!$A$9:$A$52)*($A$44=IMPROVE!$C$9:$C$52),0))</f>
        <v>0.3658156521739131</v>
      </c>
      <c r="E78" s="232" cm="1">
        <f t="array" ref="E78">INDEX(IMPROVE!AN$9:AN$52,MATCH(1,($A$38=IMPROVE!$A$9:$A$52)*($A$44=IMPROVE!$C$9:$C$52),0))</f>
        <v>0.54872347826086953</v>
      </c>
      <c r="F78" s="232" cm="1">
        <f t="array" ref="F78">INDEX(IMPROVE!AO$9:AO$52,MATCH(1,($A$38=IMPROVE!$A$9:$A$52)*($A$44=IMPROVE!$C$9:$C$52),0))</f>
        <v>0.73163130434782619</v>
      </c>
      <c r="G78" s="233" cm="1">
        <f t="array" ref="G78">INDEX(IMPROVE!AP$9:AP$52,MATCH(1,($A$38=IMPROVE!$A$9:$A$52)*($A$44=IMPROVE!$C$9:$C$52),0))</f>
        <v>0.91453913043478263</v>
      </c>
      <c r="H78" s="64"/>
      <c r="AP78" s="5"/>
      <c r="AQ78" s="5"/>
      <c r="AR78" s="5"/>
      <c r="AS78" s="5"/>
      <c r="AU78" s="5"/>
      <c r="AV78" s="5"/>
      <c r="AW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row>
    <row r="79" spans="1:115" ht="15" thickBot="1"/>
    <row r="80" spans="1:115">
      <c r="A80" s="228" t="s">
        <v>150</v>
      </c>
      <c r="B80" s="125"/>
      <c r="C80" s="125"/>
      <c r="D80" s="125"/>
      <c r="E80" s="125"/>
      <c r="F80" s="125"/>
      <c r="G80" s="229"/>
    </row>
    <row r="81" spans="1:77">
      <c r="A81" s="708" t="s">
        <v>145</v>
      </c>
      <c r="B81" s="583"/>
      <c r="C81" s="583"/>
      <c r="D81" s="583"/>
      <c r="E81" s="583"/>
      <c r="F81" s="583"/>
      <c r="G81" s="709"/>
    </row>
    <row r="82" spans="1:77" ht="15" thickBot="1">
      <c r="A82" s="230">
        <v>0</v>
      </c>
      <c r="B82" s="3">
        <v>0.1</v>
      </c>
      <c r="C82" s="3">
        <v>0.2</v>
      </c>
      <c r="D82" s="3">
        <v>0.4</v>
      </c>
      <c r="E82" s="3">
        <v>0.6</v>
      </c>
      <c r="F82" s="3">
        <v>0.8</v>
      </c>
      <c r="G82" s="85">
        <v>1</v>
      </c>
    </row>
    <row r="83" spans="1:77" ht="15" thickBot="1">
      <c r="A83" s="231" cm="1">
        <f t="array" ref="A83">INDEX(IMPROVE!AQ$9:AQ$52,MATCH(1,($A$38=IMPROVE!$A$9:$A$52)*($A$44=IMPROVE!$C$9:$C$52),0))</f>
        <v>9.9999999999999978E-2</v>
      </c>
      <c r="B83" s="232" cm="1">
        <f t="array" ref="B83">INDEX(IMPROVE!AR$9:AR$52,MATCH(1,($A$38=IMPROVE!$A$9:$A$52)*($A$44=IMPROVE!$C$9:$C$52),0))</f>
        <v>0.18145391304347824</v>
      </c>
      <c r="C83" s="232" cm="1">
        <f t="array" ref="C83">INDEX(IMPROVE!AS$9:AS$52,MATCH(1,($A$38=IMPROVE!$A$9:$A$52)*($A$44=IMPROVE!$C$9:$C$52),0))</f>
        <v>0.2629078260869564</v>
      </c>
      <c r="D83" s="232" cm="1">
        <f t="array" ref="D83">INDEX(IMPROVE!AT$9:AT$52,MATCH(1,($A$38=IMPROVE!$A$9:$A$52)*($A$44=IMPROVE!$C$9:$C$52),0))</f>
        <v>0.4258156521739131</v>
      </c>
      <c r="E83" s="232" cm="1">
        <f t="array" ref="E83">INDEX(IMPROVE!AU$9:AU$52,MATCH(1,($A$38=IMPROVE!$A$9:$A$52)*($A$44=IMPROVE!$C$9:$C$52),0))</f>
        <v>0.58872347826086946</v>
      </c>
      <c r="F83" s="232" cm="1">
        <f t="array" ref="F83">INDEX(IMPROVE!AV$9:AV$52,MATCH(1,($A$38=IMPROVE!$A$9:$A$52)*($A$44=IMPROVE!$C$9:$C$52),0))</f>
        <v>0.7516313043478261</v>
      </c>
      <c r="G83" s="233" cm="1">
        <f t="array" ref="G83">INDEX(IMPROVE!AW$9:AW$52,MATCH(1,($A$38=IMPROVE!$A$9:$A$52)*($A$44=IMPROVE!$C$9:$C$52),0))</f>
        <v>0.91453913043478263</v>
      </c>
    </row>
    <row r="84" spans="1:77" ht="15" thickBot="1"/>
    <row r="85" spans="1:77">
      <c r="A85" s="228" t="s">
        <v>151</v>
      </c>
      <c r="B85" s="125"/>
      <c r="C85" s="125"/>
      <c r="D85" s="125"/>
      <c r="E85" s="125"/>
      <c r="F85" s="125"/>
      <c r="G85" s="229"/>
      <c r="AP85" s="330"/>
      <c r="AQ85" s="330"/>
      <c r="AR85" s="330"/>
      <c r="AS85" s="330"/>
      <c r="AU85" s="330"/>
      <c r="AV85" s="330"/>
      <c r="AW85" s="330"/>
      <c r="AY85" s="330"/>
      <c r="AZ85" s="330"/>
      <c r="BA85" s="330"/>
      <c r="BB85" s="560"/>
      <c r="BC85" s="560"/>
      <c r="BD85" s="330"/>
      <c r="BE85" s="330"/>
      <c r="BF85" s="560"/>
      <c r="BG85" s="560"/>
      <c r="BH85" s="330"/>
      <c r="BI85" s="330"/>
      <c r="BJ85" s="560"/>
      <c r="BK85" s="560"/>
      <c r="BL85" s="330"/>
      <c r="BM85" s="330"/>
      <c r="BN85" s="560"/>
      <c r="BO85" s="560"/>
      <c r="BP85" s="330"/>
      <c r="BQ85" s="330"/>
      <c r="BR85" s="560"/>
      <c r="BS85" s="560"/>
      <c r="BT85" s="330"/>
      <c r="BU85" s="330"/>
      <c r="BV85" s="560"/>
      <c r="BW85" s="560"/>
      <c r="BX85" s="560"/>
      <c r="BY85" s="560"/>
    </row>
    <row r="86" spans="1:77">
      <c r="A86" s="708" t="s">
        <v>145</v>
      </c>
      <c r="B86" s="583"/>
      <c r="C86" s="583"/>
      <c r="D86" s="583"/>
      <c r="E86" s="583"/>
      <c r="F86" s="583"/>
      <c r="G86" s="709"/>
      <c r="AP86" s="330"/>
      <c r="AQ86" s="330"/>
      <c r="AR86" s="330"/>
      <c r="AS86" s="330"/>
      <c r="AU86" s="330"/>
      <c r="AV86" s="330"/>
      <c r="AW86" s="330"/>
      <c r="AY86" s="330"/>
      <c r="AZ86" s="560"/>
      <c r="BA86" s="330"/>
      <c r="BB86" s="560"/>
      <c r="BC86" s="560"/>
      <c r="BD86" s="560"/>
      <c r="BE86" s="330"/>
      <c r="BF86" s="560"/>
      <c r="BG86" s="560"/>
      <c r="BH86" s="560"/>
      <c r="BI86" s="330"/>
      <c r="BJ86" s="560"/>
      <c r="BK86" s="560"/>
      <c r="BL86" s="560"/>
      <c r="BM86" s="330"/>
      <c r="BN86" s="560"/>
      <c r="BO86" s="560"/>
      <c r="BP86" s="560"/>
      <c r="BQ86" s="330"/>
      <c r="BR86" s="560"/>
      <c r="BS86" s="560"/>
      <c r="BT86" s="560"/>
      <c r="BU86" s="330"/>
      <c r="BV86" s="560"/>
      <c r="BW86" s="560"/>
      <c r="BX86" s="560"/>
      <c r="BY86" s="560"/>
    </row>
    <row r="87" spans="1:77" ht="15" thickBot="1">
      <c r="A87" s="230">
        <v>0</v>
      </c>
      <c r="B87" s="3">
        <v>0.1</v>
      </c>
      <c r="C87" s="3">
        <v>0.2</v>
      </c>
      <c r="D87" s="3">
        <v>0.4</v>
      </c>
      <c r="E87" s="3">
        <v>0.6</v>
      </c>
      <c r="F87" s="3">
        <v>0.8</v>
      </c>
      <c r="G87" s="85">
        <v>1</v>
      </c>
      <c r="AP87" s="330"/>
      <c r="AQ87" s="330"/>
      <c r="AR87" s="330"/>
      <c r="AS87" s="330"/>
      <c r="AU87" s="330"/>
      <c r="AV87" s="330"/>
      <c r="AW87" s="330"/>
      <c r="AY87" s="330"/>
      <c r="AZ87" s="560"/>
      <c r="BA87" s="330"/>
      <c r="BB87" s="560"/>
      <c r="BC87" s="560"/>
      <c r="BD87" s="560"/>
      <c r="BE87" s="330"/>
      <c r="BF87" s="560"/>
      <c r="BG87" s="560"/>
      <c r="BH87" s="560"/>
      <c r="BI87" s="330"/>
      <c r="BJ87" s="560"/>
      <c r="BK87" s="560"/>
      <c r="BL87" s="560"/>
      <c r="BM87" s="330"/>
      <c r="BN87" s="560"/>
      <c r="BO87" s="560"/>
      <c r="BP87" s="560"/>
      <c r="BQ87" s="330"/>
      <c r="BR87" s="560"/>
      <c r="BS87" s="560"/>
      <c r="BT87" s="560"/>
      <c r="BU87" s="330"/>
      <c r="BV87" s="560"/>
      <c r="BW87" s="560"/>
      <c r="BX87" s="560"/>
      <c r="BY87" s="560"/>
    </row>
    <row r="88" spans="1:77" ht="15" thickBot="1">
      <c r="A88" s="231" cm="1">
        <f t="array" ref="A88">INDEX(IMPROVE!AX$9:AX$52,MATCH(1,($A$38=IMPROVE!$A$9:$A$52)*($A$44=IMPROVE!$C$9:$C$52),0))</f>
        <v>0.19999999999999996</v>
      </c>
      <c r="B88" s="232" cm="1">
        <f t="array" ref="B88">INDEX(IMPROVE!AY$9:AY$52,MATCH(1,($A$38=IMPROVE!$A$9:$A$52)*($A$44=IMPROVE!$C$9:$C$52),0))</f>
        <v>0.27145391304347816</v>
      </c>
      <c r="C88" s="232" cm="1">
        <f t="array" ref="C88">INDEX(IMPROVE!AZ$9:AZ$52,MATCH(1,($A$38=IMPROVE!$A$9:$A$52)*($A$44=IMPROVE!$C$9:$C$52),0))</f>
        <v>0.34290782608695641</v>
      </c>
      <c r="D88" s="232" cm="1">
        <f t="array" ref="D88">INDEX(IMPROVE!BA$9:BA$52,MATCH(1,($A$38=IMPROVE!$A$9:$A$52)*($A$44=IMPROVE!$C$9:$C$52),0))</f>
        <v>0.48581565217391309</v>
      </c>
      <c r="E88" s="232" cm="1">
        <f t="array" ref="E88">INDEX(IMPROVE!BB$9:BB$52,MATCH(1,($A$38=IMPROVE!$A$9:$A$52)*($A$44=IMPROVE!$C$9:$C$52),0))</f>
        <v>0.62872347826086949</v>
      </c>
      <c r="F88" s="232" cm="1">
        <f t="array" ref="F88">INDEX(IMPROVE!BC$9:BC$52,MATCH(1,($A$38=IMPROVE!$A$9:$A$52)*($A$44=IMPROVE!$C$9:$C$52),0))</f>
        <v>0.77163130434782612</v>
      </c>
      <c r="G88" s="233" cm="1">
        <f t="array" ref="G88">INDEX(IMPROVE!BD$9:BD$52,MATCH(1,($A$38=IMPROVE!$A$9:$A$52)*($A$44=IMPROVE!$C$9:$C$52),0))</f>
        <v>0.91453913043478263</v>
      </c>
      <c r="AP88" s="330"/>
      <c r="AQ88" s="330"/>
      <c r="AR88" s="330"/>
      <c r="AS88" s="330"/>
      <c r="AU88" s="330"/>
      <c r="AV88" s="330"/>
      <c r="AW88" s="330"/>
      <c r="AY88" s="330"/>
      <c r="AZ88" s="560"/>
      <c r="BA88" s="330"/>
      <c r="BB88" s="560"/>
      <c r="BC88" s="560"/>
      <c r="BD88" s="560"/>
      <c r="BE88" s="330"/>
      <c r="BF88" s="560"/>
      <c r="BG88" s="560"/>
      <c r="BH88" s="560"/>
      <c r="BI88" s="330"/>
      <c r="BJ88" s="560"/>
      <c r="BK88" s="560"/>
      <c r="BL88" s="560"/>
      <c r="BM88" s="330"/>
      <c r="BN88" s="560"/>
      <c r="BO88" s="560"/>
      <c r="BP88" s="560"/>
      <c r="BQ88" s="330"/>
      <c r="BR88" s="560"/>
      <c r="BS88" s="560"/>
      <c r="BT88" s="560"/>
      <c r="BU88" s="330"/>
      <c r="BV88" s="560"/>
      <c r="BW88" s="560"/>
      <c r="BX88" s="560"/>
      <c r="BY88" s="560"/>
    </row>
    <row r="89" spans="1:77" ht="15" thickBot="1">
      <c r="AP89" s="330"/>
      <c r="AQ89" s="330"/>
      <c r="AR89" s="330"/>
      <c r="AS89" s="330"/>
      <c r="AU89" s="330"/>
      <c r="AV89" s="330"/>
      <c r="AW89" s="330"/>
      <c r="AY89" s="330"/>
      <c r="AZ89" s="560"/>
      <c r="BA89" s="330"/>
      <c r="BB89" s="560"/>
      <c r="BC89" s="560"/>
      <c r="BD89" s="560"/>
      <c r="BE89" s="330"/>
      <c r="BF89" s="560"/>
      <c r="BG89" s="560"/>
      <c r="BH89" s="560"/>
      <c r="BI89" s="330"/>
      <c r="BJ89" s="560"/>
      <c r="BK89" s="560"/>
      <c r="BL89" s="560"/>
      <c r="BM89" s="330"/>
      <c r="BN89" s="560"/>
      <c r="BO89" s="560"/>
      <c r="BP89" s="560"/>
      <c r="BQ89" s="330"/>
      <c r="BR89" s="560"/>
      <c r="BS89" s="560"/>
      <c r="BT89" s="560"/>
      <c r="BU89" s="330"/>
      <c r="BV89" s="560"/>
      <c r="BW89" s="560"/>
      <c r="BX89" s="560"/>
      <c r="BY89" s="560"/>
    </row>
    <row r="90" spans="1:77">
      <c r="A90" s="228" t="s">
        <v>152</v>
      </c>
      <c r="B90" s="125"/>
      <c r="C90" s="125"/>
      <c r="D90" s="125"/>
      <c r="E90" s="125"/>
      <c r="F90" s="125"/>
      <c r="G90" s="229"/>
      <c r="AP90" s="330"/>
      <c r="AQ90" s="330"/>
      <c r="AR90" s="330"/>
      <c r="AS90" s="330"/>
      <c r="AU90" s="330"/>
      <c r="AV90" s="330"/>
      <c r="AW90" s="330"/>
      <c r="AY90" s="330"/>
      <c r="AZ90" s="560"/>
      <c r="BA90" s="330"/>
      <c r="BB90" s="560"/>
      <c r="BC90" s="560"/>
      <c r="BD90" s="560"/>
      <c r="BE90" s="330"/>
      <c r="BF90" s="560"/>
      <c r="BG90" s="560"/>
      <c r="BH90" s="560"/>
      <c r="BI90" s="330"/>
      <c r="BJ90" s="560"/>
      <c r="BK90" s="560"/>
      <c r="BL90" s="560"/>
      <c r="BM90" s="330"/>
      <c r="BN90" s="560"/>
      <c r="BO90" s="560"/>
      <c r="BP90" s="560"/>
      <c r="BQ90" s="330"/>
      <c r="BR90" s="560"/>
      <c r="BS90" s="560"/>
      <c r="BT90" s="560"/>
      <c r="BU90" s="330"/>
      <c r="BV90" s="560"/>
      <c r="BW90" s="560"/>
      <c r="BX90" s="560"/>
      <c r="BY90" s="560"/>
    </row>
    <row r="91" spans="1:77">
      <c r="A91" s="708" t="s">
        <v>145</v>
      </c>
      <c r="B91" s="583"/>
      <c r="C91" s="583"/>
      <c r="D91" s="583"/>
      <c r="E91" s="583"/>
      <c r="F91" s="583"/>
      <c r="G91" s="709"/>
      <c r="AP91" s="330"/>
      <c r="AQ91" s="330"/>
      <c r="AR91" s="330"/>
      <c r="AS91" s="330"/>
      <c r="AU91" s="330"/>
      <c r="AV91" s="330"/>
      <c r="AW91" s="330"/>
      <c r="AY91" s="330"/>
      <c r="AZ91" s="560"/>
      <c r="BA91" s="330"/>
      <c r="BB91" s="560"/>
      <c r="BC91" s="560"/>
      <c r="BD91" s="560"/>
      <c r="BE91" s="330"/>
      <c r="BF91" s="560"/>
      <c r="BG91" s="560"/>
      <c r="BH91" s="560"/>
      <c r="BI91" s="330"/>
      <c r="BJ91" s="560"/>
      <c r="BK91" s="560"/>
      <c r="BL91" s="560"/>
      <c r="BM91" s="330"/>
      <c r="BN91" s="560"/>
      <c r="BO91" s="560"/>
      <c r="BP91" s="560"/>
      <c r="BQ91" s="330"/>
      <c r="BR91" s="560"/>
      <c r="BS91" s="560"/>
      <c r="BT91" s="560"/>
      <c r="BU91" s="330"/>
      <c r="BV91" s="560"/>
      <c r="BW91" s="560"/>
      <c r="BX91" s="560"/>
      <c r="BY91" s="560"/>
    </row>
    <row r="92" spans="1:77" ht="15" thickBot="1">
      <c r="A92" s="230">
        <v>0</v>
      </c>
      <c r="B92" s="3">
        <v>0.1</v>
      </c>
      <c r="C92" s="3">
        <v>0.2</v>
      </c>
      <c r="D92" s="3">
        <v>0.4</v>
      </c>
      <c r="E92" s="3">
        <v>0.6</v>
      </c>
      <c r="F92" s="3">
        <v>0.8</v>
      </c>
      <c r="G92" s="85">
        <v>1</v>
      </c>
      <c r="AP92" s="330"/>
      <c r="AQ92" s="330"/>
      <c r="AR92" s="330"/>
      <c r="AS92" s="330"/>
      <c r="AU92" s="330"/>
      <c r="AV92" s="330"/>
      <c r="AW92" s="330"/>
      <c r="AY92" s="330"/>
      <c r="AZ92" s="560"/>
      <c r="BA92" s="330"/>
      <c r="BB92" s="560"/>
      <c r="BC92" s="560"/>
      <c r="BD92" s="560"/>
      <c r="BE92" s="330"/>
      <c r="BF92" s="560"/>
      <c r="BG92" s="560"/>
      <c r="BH92" s="560"/>
      <c r="BI92" s="330"/>
      <c r="BJ92" s="560"/>
      <c r="BK92" s="560"/>
      <c r="BL92" s="560"/>
      <c r="BM92" s="330"/>
      <c r="BN92" s="560"/>
      <c r="BO92" s="560"/>
      <c r="BP92" s="560"/>
      <c r="BQ92" s="330"/>
      <c r="BR92" s="560"/>
      <c r="BS92" s="560"/>
      <c r="BT92" s="560"/>
      <c r="BU92" s="330"/>
      <c r="BV92" s="560"/>
      <c r="BW92" s="560"/>
      <c r="BX92" s="560"/>
      <c r="BY92" s="560"/>
    </row>
    <row r="93" spans="1:77" ht="15" thickBot="1">
      <c r="A93" s="231" cm="1">
        <f t="array" ref="A93">INDEX(IMPROVE!BE$9:BE$52,MATCH(1,($A$38=IMPROVE!$A$9:$A$52)*($A$44=IMPROVE!$C$9:$C$52),0))</f>
        <v>0.30000000000000004</v>
      </c>
      <c r="B93" s="232" cm="1">
        <f t="array" ref="B93">INDEX(IMPROVE!BF$9:BF$52,MATCH(1,($A$38=IMPROVE!$A$9:$A$52)*($A$44=IMPROVE!$C$9:$C$52),0))</f>
        <v>0.36145391304347824</v>
      </c>
      <c r="C93" s="232" cm="1">
        <f t="array" ref="C93">INDEX(IMPROVE!BG$9:BG$52,MATCH(1,($A$38=IMPROVE!$A$9:$A$52)*($A$44=IMPROVE!$C$9:$C$52),0))</f>
        <v>0.42290782608695648</v>
      </c>
      <c r="D93" s="232" cm="1">
        <f t="array" ref="D93">INDEX(IMPROVE!BH$9:BH$52,MATCH(1,($A$38=IMPROVE!$A$9:$A$52)*($A$44=IMPROVE!$C$9:$C$52),0))</f>
        <v>0.54581565217391315</v>
      </c>
      <c r="E93" s="232" cm="1">
        <f t="array" ref="E93">INDEX(IMPROVE!BI$9:BI$52,MATCH(1,($A$38=IMPROVE!$A$9:$A$52)*($A$44=IMPROVE!$C$9:$C$52),0))</f>
        <v>0.66872347826086953</v>
      </c>
      <c r="F93" s="232" cm="1">
        <f t="array" ref="F93">INDEX(IMPROVE!BJ$9:BJ$52,MATCH(1,($A$38=IMPROVE!$A$9:$A$52)*($A$44=IMPROVE!$C$9:$C$52),0))</f>
        <v>0.79163130434782614</v>
      </c>
      <c r="G93" s="233" cm="1">
        <f t="array" ref="G93">INDEX(IMPROVE!BK$9:BK$52,MATCH(1,($A$38=IMPROVE!$A$9:$A$52)*($A$44=IMPROVE!$C$9:$C$52),0))</f>
        <v>0.91453913043478263</v>
      </c>
      <c r="AP93" s="330"/>
      <c r="AQ93" s="330"/>
      <c r="AR93" s="330"/>
      <c r="AS93" s="330"/>
      <c r="AU93" s="330"/>
      <c r="AV93" s="330"/>
      <c r="AW93" s="330"/>
      <c r="AY93" s="330"/>
      <c r="AZ93" s="560"/>
      <c r="BA93" s="330"/>
      <c r="BB93" s="560"/>
      <c r="BC93" s="560"/>
      <c r="BD93" s="560"/>
      <c r="BE93" s="330"/>
      <c r="BF93" s="560"/>
      <c r="BG93" s="560"/>
      <c r="BH93" s="560"/>
      <c r="BI93" s="330"/>
      <c r="BJ93" s="560"/>
      <c r="BK93" s="560"/>
      <c r="BL93" s="560"/>
      <c r="BM93" s="330"/>
      <c r="BN93" s="560"/>
      <c r="BO93" s="560"/>
      <c r="BP93" s="560"/>
      <c r="BQ93" s="330"/>
      <c r="BR93" s="560"/>
      <c r="BS93" s="560"/>
      <c r="BT93" s="560"/>
      <c r="BU93" s="330"/>
      <c r="BV93" s="560"/>
      <c r="BW93" s="560"/>
      <c r="BX93" s="560"/>
      <c r="BY93" s="560"/>
    </row>
    <row r="94" spans="1:77">
      <c r="AP94" s="330"/>
      <c r="AQ94" s="330"/>
      <c r="AR94" s="330"/>
      <c r="AS94" s="330"/>
      <c r="AU94" s="330"/>
      <c r="AV94" s="330"/>
      <c r="AW94" s="330"/>
      <c r="AY94" s="330"/>
      <c r="AZ94" s="560"/>
      <c r="BA94" s="330"/>
      <c r="BB94" s="560"/>
      <c r="BC94" s="560"/>
      <c r="BD94" s="560"/>
      <c r="BE94" s="330"/>
      <c r="BF94" s="560"/>
      <c r="BG94" s="560"/>
      <c r="BH94" s="560"/>
      <c r="BI94" s="330"/>
      <c r="BJ94" s="560"/>
      <c r="BK94" s="560"/>
      <c r="BL94" s="560"/>
      <c r="BM94" s="330"/>
      <c r="BN94" s="560"/>
      <c r="BO94" s="560"/>
      <c r="BP94" s="560"/>
      <c r="BQ94" s="330"/>
      <c r="BR94" s="560"/>
      <c r="BS94" s="560"/>
      <c r="BT94" s="560"/>
      <c r="BU94" s="330"/>
      <c r="BV94" s="560"/>
      <c r="BW94" s="560"/>
      <c r="BX94" s="560"/>
      <c r="BY94" s="560"/>
    </row>
    <row r="95" spans="1:77">
      <c r="AP95" s="330"/>
      <c r="AQ95" s="330"/>
      <c r="AR95" s="330"/>
      <c r="AS95" s="330"/>
      <c r="AU95" s="330"/>
      <c r="AV95" s="330"/>
      <c r="AW95" s="330"/>
      <c r="AY95" s="330"/>
      <c r="AZ95" s="560"/>
      <c r="BA95" s="330"/>
      <c r="BB95" s="560"/>
      <c r="BC95" s="560"/>
      <c r="BD95" s="560"/>
      <c r="BE95" s="330"/>
      <c r="BF95" s="560"/>
      <c r="BG95" s="560"/>
      <c r="BH95" s="560"/>
      <c r="BI95" s="330"/>
      <c r="BJ95" s="560"/>
      <c r="BK95" s="560"/>
      <c r="BL95" s="560"/>
      <c r="BM95" s="330"/>
      <c r="BN95" s="560"/>
      <c r="BO95" s="560"/>
      <c r="BP95" s="560"/>
      <c r="BQ95" s="330"/>
      <c r="BR95" s="560"/>
      <c r="BS95" s="560"/>
      <c r="BT95" s="560"/>
      <c r="BU95" s="330"/>
      <c r="BV95" s="560"/>
      <c r="BW95" s="560"/>
      <c r="BX95" s="560"/>
      <c r="BY95" s="560"/>
    </row>
    <row r="96" spans="1:77">
      <c r="AP96" s="330"/>
      <c r="AQ96" s="330"/>
      <c r="AR96" s="330"/>
      <c r="AS96" s="330"/>
      <c r="AU96" s="330"/>
      <c r="AV96" s="330"/>
      <c r="AW96" s="330"/>
      <c r="AY96" s="330"/>
      <c r="AZ96" s="560"/>
      <c r="BA96" s="330"/>
      <c r="BB96" s="560"/>
      <c r="BC96" s="560"/>
      <c r="BD96" s="560"/>
      <c r="BE96" s="330"/>
      <c r="BF96" s="560"/>
      <c r="BG96" s="560"/>
      <c r="BH96" s="560"/>
      <c r="BI96" s="330"/>
      <c r="BJ96" s="560"/>
      <c r="BK96" s="560"/>
      <c r="BL96" s="560"/>
      <c r="BM96" s="330"/>
      <c r="BN96" s="560"/>
      <c r="BO96" s="560"/>
      <c r="BP96" s="560"/>
      <c r="BQ96" s="330"/>
      <c r="BR96" s="560"/>
      <c r="BS96" s="560"/>
      <c r="BT96" s="560"/>
      <c r="BU96" s="330"/>
      <c r="BV96" s="560"/>
      <c r="BW96" s="560"/>
      <c r="BX96" s="560"/>
      <c r="BY96" s="560"/>
    </row>
    <row r="97" spans="1:77" ht="15" thickBot="1">
      <c r="A97" t="s">
        <v>174</v>
      </c>
      <c r="AP97" s="330"/>
      <c r="AQ97" s="330"/>
      <c r="AR97" s="330"/>
      <c r="AS97" s="330"/>
      <c r="AU97" s="330"/>
      <c r="AV97" s="330"/>
      <c r="AW97" s="330"/>
      <c r="AY97" s="330"/>
      <c r="AZ97" s="560"/>
      <c r="BA97" s="330"/>
      <c r="BB97" s="560"/>
      <c r="BC97" s="560"/>
      <c r="BD97" s="560"/>
      <c r="BE97" s="330"/>
      <c r="BF97" s="560"/>
      <c r="BG97" s="560"/>
      <c r="BH97" s="560"/>
      <c r="BI97" s="330"/>
      <c r="BJ97" s="560"/>
      <c r="BK97" s="560"/>
      <c r="BL97" s="560"/>
      <c r="BM97" s="330"/>
      <c r="BN97" s="560"/>
      <c r="BO97" s="560"/>
      <c r="BP97" s="560"/>
      <c r="BQ97" s="330"/>
      <c r="BR97" s="560"/>
      <c r="BS97" s="560"/>
      <c r="BT97" s="560"/>
      <c r="BU97" s="330"/>
      <c r="BV97" s="560"/>
      <c r="BW97" s="560"/>
      <c r="BX97" s="560"/>
      <c r="BY97" s="560"/>
    </row>
    <row r="98" spans="1:77">
      <c r="A98" s="228" t="s">
        <v>149</v>
      </c>
      <c r="B98" s="125"/>
      <c r="C98" s="125"/>
      <c r="D98" s="125"/>
      <c r="E98" s="125"/>
      <c r="F98" s="125"/>
      <c r="G98" s="229"/>
      <c r="AP98" s="330"/>
      <c r="AQ98" s="330"/>
      <c r="AR98" s="330"/>
      <c r="AS98" s="330"/>
      <c r="AU98" s="330"/>
      <c r="AV98" s="330"/>
      <c r="AW98" s="330"/>
      <c r="AY98" s="330"/>
      <c r="AZ98" s="560"/>
      <c r="BA98" s="330"/>
      <c r="BB98" s="560"/>
      <c r="BC98" s="560"/>
      <c r="BD98" s="560"/>
      <c r="BE98" s="330"/>
      <c r="BF98" s="560"/>
      <c r="BG98" s="560"/>
      <c r="BH98" s="560"/>
      <c r="BI98" s="330"/>
      <c r="BJ98" s="560"/>
      <c r="BK98" s="560"/>
      <c r="BL98" s="560"/>
      <c r="BM98" s="330"/>
      <c r="BN98" s="560"/>
      <c r="BO98" s="560"/>
      <c r="BP98" s="560"/>
      <c r="BQ98" s="330"/>
      <c r="BR98" s="560"/>
      <c r="BS98" s="560"/>
      <c r="BT98" s="560"/>
      <c r="BU98" s="330"/>
      <c r="BV98" s="560"/>
      <c r="BW98" s="560"/>
      <c r="BX98" s="560"/>
      <c r="BY98" s="560"/>
    </row>
    <row r="99" spans="1:77">
      <c r="A99" s="708" t="s">
        <v>145</v>
      </c>
      <c r="B99" s="583"/>
      <c r="C99" s="583"/>
      <c r="D99" s="583"/>
      <c r="E99" s="583"/>
      <c r="F99" s="583"/>
      <c r="G99" s="709"/>
      <c r="AP99" s="330"/>
      <c r="AQ99" s="330"/>
      <c r="AR99" s="330"/>
      <c r="AS99" s="330"/>
      <c r="AU99" s="330"/>
      <c r="AV99" s="330"/>
      <c r="AW99" s="330"/>
      <c r="AY99" s="330"/>
      <c r="AZ99" s="560"/>
      <c r="BA99" s="330"/>
      <c r="BB99" s="560"/>
      <c r="BC99" s="560"/>
      <c r="BD99" s="560"/>
      <c r="BE99" s="330"/>
      <c r="BF99" s="560"/>
      <c r="BG99" s="560"/>
      <c r="BH99" s="560"/>
      <c r="BI99" s="330"/>
      <c r="BJ99" s="560"/>
      <c r="BK99" s="560"/>
      <c r="BL99" s="560"/>
      <c r="BM99" s="330"/>
      <c r="BN99" s="560"/>
      <c r="BO99" s="560"/>
      <c r="BP99" s="560"/>
      <c r="BQ99" s="330"/>
      <c r="BR99" s="560"/>
      <c r="BS99" s="560"/>
      <c r="BT99" s="560"/>
      <c r="BU99" s="330"/>
      <c r="BV99" s="560"/>
      <c r="BW99" s="560"/>
      <c r="BX99" s="560"/>
      <c r="BY99" s="560"/>
    </row>
    <row r="100" spans="1:77" ht="15" thickBot="1">
      <c r="A100" s="230">
        <v>0</v>
      </c>
      <c r="B100" s="3">
        <v>0.1</v>
      </c>
      <c r="C100" s="3">
        <v>0.2</v>
      </c>
      <c r="D100" s="3">
        <v>0.4</v>
      </c>
      <c r="E100" s="3">
        <v>0.6</v>
      </c>
      <c r="F100" s="3">
        <v>0.8</v>
      </c>
      <c r="G100" s="85">
        <v>1</v>
      </c>
      <c r="AP100" s="330"/>
      <c r="AQ100" s="330"/>
      <c r="AR100" s="330"/>
      <c r="AS100" s="330"/>
      <c r="AU100" s="330"/>
      <c r="AV100" s="330"/>
      <c r="AW100" s="330"/>
      <c r="AY100" s="330"/>
      <c r="AZ100" s="560"/>
      <c r="BA100" s="330"/>
      <c r="BB100" s="560"/>
      <c r="BC100" s="560"/>
      <c r="BD100" s="560"/>
      <c r="BE100" s="330"/>
      <c r="BF100" s="560"/>
      <c r="BG100" s="560"/>
      <c r="BH100" s="560"/>
      <c r="BI100" s="330"/>
      <c r="BJ100" s="560"/>
      <c r="BK100" s="560"/>
      <c r="BL100" s="560"/>
      <c r="BM100" s="330"/>
      <c r="BN100" s="560"/>
      <c r="BO100" s="560"/>
      <c r="BP100" s="560"/>
      <c r="BQ100" s="330"/>
      <c r="BR100" s="560"/>
      <c r="BS100" s="560"/>
      <c r="BT100" s="560"/>
      <c r="BU100" s="330"/>
      <c r="BV100" s="560"/>
      <c r="BW100" s="560"/>
      <c r="BX100" s="560"/>
      <c r="BY100" s="560"/>
    </row>
    <row r="101" spans="1:77" ht="15" thickBot="1">
      <c r="A101" s="231" cm="1">
        <f t="array" ref="A101">INDEX(IMPROVE!AJ$9:AJ$52,MATCH(1,($A$40=IMPROVE!$A$9:$A$52)*($A$44=IMPROVE!$C$9:$C$52),0))</f>
        <v>0</v>
      </c>
      <c r="B101" s="232" cm="1">
        <f t="array" ref="B101">INDEX(IMPROVE!AK$9:AK$52,MATCH(1,($A$40=IMPROVE!$A$9:$A$52)*($A$44=IMPROVE!$C$9:$C$52),0))</f>
        <v>4.6751304347826164E-2</v>
      </c>
      <c r="C101" s="232" cm="1">
        <f t="array" ref="C101">INDEX(IMPROVE!AL$9:AL$52,MATCH(1,($A$40=IMPROVE!$A$9:$A$52)*($A$44=IMPROVE!$C$9:$C$52),0))</f>
        <v>9.350260869565212E-2</v>
      </c>
      <c r="D101" s="232" cm="1">
        <f t="array" ref="D101">INDEX(IMPROVE!AM$9:AM$52,MATCH(1,($A$40=IMPROVE!$A$9:$A$52)*($A$44=IMPROVE!$C$9:$C$52),0))</f>
        <v>0.18700521739130432</v>
      </c>
      <c r="E101" s="232" cm="1">
        <f t="array" ref="E101">INDEX(IMPROVE!AN$9:AN$52,MATCH(1,($A$40=IMPROVE!$A$9:$A$52)*($A$44=IMPROVE!$C$9:$C$52),0))</f>
        <v>0.28050782608695657</v>
      </c>
      <c r="F101" s="232" cm="1">
        <f t="array" ref="F101">INDEX(IMPROVE!AO$9:AO$52,MATCH(1,($A$40=IMPROVE!$A$9:$A$52)*($A$44=IMPROVE!$C$9:$C$52),0))</f>
        <v>0.37401043478260865</v>
      </c>
      <c r="G101" s="233" cm="1">
        <f t="array" ref="G101">INDEX(IMPROVE!AP$9:AP$52,MATCH(1,($A$40=IMPROVE!$A$9:$A$52)*($A$44=IMPROVE!$C$9:$C$52),0))</f>
        <v>0.46751304347826089</v>
      </c>
      <c r="AP101" s="330"/>
      <c r="AQ101" s="330"/>
      <c r="AR101" s="330"/>
      <c r="AS101" s="330"/>
      <c r="AU101" s="330"/>
      <c r="AV101" s="330"/>
      <c r="AW101" s="330"/>
      <c r="AY101" s="330"/>
      <c r="AZ101" s="560"/>
      <c r="BA101" s="330"/>
      <c r="BB101" s="560"/>
      <c r="BC101" s="560"/>
      <c r="BD101" s="560"/>
      <c r="BE101" s="330"/>
      <c r="BF101" s="560"/>
      <c r="BG101" s="560"/>
      <c r="BH101" s="560"/>
      <c r="BI101" s="330"/>
      <c r="BJ101" s="560"/>
      <c r="BK101" s="560"/>
      <c r="BL101" s="560"/>
      <c r="BM101" s="330"/>
      <c r="BN101" s="560"/>
      <c r="BO101" s="560"/>
      <c r="BP101" s="560"/>
      <c r="BQ101" s="330"/>
      <c r="BR101" s="560"/>
      <c r="BS101" s="560"/>
      <c r="BT101" s="560"/>
      <c r="BU101" s="330"/>
      <c r="BV101" s="560"/>
      <c r="BW101" s="560"/>
      <c r="BX101" s="560"/>
      <c r="BY101" s="560"/>
    </row>
    <row r="102" spans="1:77" ht="15" thickBot="1">
      <c r="AP102" s="330"/>
      <c r="AQ102" s="330"/>
      <c r="AR102" s="330"/>
      <c r="AS102" s="330"/>
      <c r="AU102" s="330"/>
      <c r="AV102" s="330"/>
      <c r="AW102" s="330"/>
      <c r="AY102" s="330"/>
      <c r="AZ102" s="560"/>
      <c r="BA102" s="330"/>
      <c r="BB102" s="560"/>
      <c r="BC102" s="560"/>
      <c r="BD102" s="560"/>
      <c r="BE102" s="330"/>
      <c r="BF102" s="560"/>
      <c r="BG102" s="560"/>
      <c r="BH102" s="560"/>
      <c r="BI102" s="330"/>
      <c r="BJ102" s="560"/>
      <c r="BK102" s="560"/>
      <c r="BL102" s="560"/>
      <c r="BM102" s="330"/>
      <c r="BN102" s="560"/>
      <c r="BO102" s="560"/>
      <c r="BP102" s="560"/>
      <c r="BQ102" s="330"/>
      <c r="BR102" s="560"/>
      <c r="BS102" s="560"/>
      <c r="BT102" s="560"/>
      <c r="BU102" s="330"/>
      <c r="BV102" s="560"/>
      <c r="BW102" s="560"/>
      <c r="BX102" s="560"/>
      <c r="BY102" s="560"/>
    </row>
    <row r="103" spans="1:77">
      <c r="A103" s="228" t="s">
        <v>150</v>
      </c>
      <c r="B103" s="125"/>
      <c r="C103" s="125"/>
      <c r="D103" s="125"/>
      <c r="E103" s="125"/>
      <c r="F103" s="125"/>
      <c r="G103" s="229"/>
      <c r="AP103" s="330"/>
      <c r="AQ103" s="330"/>
      <c r="AR103" s="330"/>
      <c r="AS103" s="330"/>
      <c r="AU103" s="330"/>
      <c r="AV103" s="330"/>
      <c r="AW103" s="330"/>
      <c r="AY103" s="330"/>
      <c r="AZ103" s="560"/>
      <c r="BA103" s="330"/>
      <c r="BB103" s="560"/>
      <c r="BC103" s="560"/>
      <c r="BD103" s="560"/>
      <c r="BE103" s="330"/>
      <c r="BF103" s="560"/>
      <c r="BG103" s="560"/>
      <c r="BH103" s="560"/>
      <c r="BI103" s="330"/>
      <c r="BJ103" s="560"/>
      <c r="BK103" s="560"/>
      <c r="BL103" s="560"/>
      <c r="BM103" s="330"/>
      <c r="BN103" s="560"/>
      <c r="BO103" s="560"/>
      <c r="BP103" s="560"/>
      <c r="BQ103" s="330"/>
      <c r="BR103" s="560"/>
      <c r="BS103" s="560"/>
      <c r="BT103" s="560"/>
      <c r="BU103" s="330"/>
      <c r="BV103" s="560"/>
      <c r="BW103" s="560"/>
      <c r="BX103" s="560"/>
      <c r="BY103" s="560"/>
    </row>
    <row r="104" spans="1:77">
      <c r="A104" s="708" t="s">
        <v>145</v>
      </c>
      <c r="B104" s="583"/>
      <c r="C104" s="583"/>
      <c r="D104" s="583"/>
      <c r="E104" s="583"/>
      <c r="F104" s="583"/>
      <c r="G104" s="709"/>
      <c r="AP104" s="330"/>
      <c r="AQ104" s="330"/>
      <c r="AR104" s="330"/>
      <c r="AS104" s="330"/>
      <c r="AU104" s="330"/>
      <c r="AV104" s="330"/>
      <c r="AW104" s="330"/>
      <c r="AY104" s="330"/>
      <c r="AZ104" s="560"/>
      <c r="BA104" s="330"/>
      <c r="BB104" s="560"/>
      <c r="BC104" s="560"/>
      <c r="BD104" s="560"/>
      <c r="BE104" s="330"/>
      <c r="BF104" s="560"/>
      <c r="BG104" s="560"/>
      <c r="BH104" s="560"/>
      <c r="BI104" s="330"/>
      <c r="BJ104" s="560"/>
      <c r="BK104" s="560"/>
      <c r="BL104" s="560"/>
      <c r="BM104" s="330"/>
      <c r="BN104" s="560"/>
      <c r="BO104" s="560"/>
      <c r="BP104" s="560"/>
      <c r="BQ104" s="330"/>
      <c r="BR104" s="560"/>
      <c r="BS104" s="560"/>
      <c r="BT104" s="560"/>
      <c r="BU104" s="330"/>
      <c r="BV104" s="560"/>
      <c r="BW104" s="560"/>
      <c r="BX104" s="560"/>
      <c r="BY104" s="560"/>
    </row>
    <row r="105" spans="1:77" ht="15" thickBot="1">
      <c r="A105" s="230">
        <v>0</v>
      </c>
      <c r="B105" s="3">
        <v>0.1</v>
      </c>
      <c r="C105" s="3">
        <v>0.2</v>
      </c>
      <c r="D105" s="3">
        <v>0.4</v>
      </c>
      <c r="E105" s="3">
        <v>0.6</v>
      </c>
      <c r="F105" s="3">
        <v>0.8</v>
      </c>
      <c r="G105" s="85">
        <v>1</v>
      </c>
      <c r="AP105" s="330"/>
      <c r="AQ105" s="330"/>
      <c r="AR105" s="330"/>
      <c r="AS105" s="330"/>
      <c r="AU105" s="330"/>
      <c r="AV105" s="330"/>
      <c r="AW105" s="330"/>
      <c r="AY105" s="330"/>
      <c r="AZ105" s="560"/>
      <c r="BA105" s="330"/>
      <c r="BB105" s="560"/>
      <c r="BC105" s="560"/>
      <c r="BD105" s="560"/>
      <c r="BE105" s="330"/>
      <c r="BF105" s="560"/>
      <c r="BG105" s="560"/>
      <c r="BH105" s="560"/>
      <c r="BI105" s="330"/>
      <c r="BJ105" s="560"/>
      <c r="BK105" s="560"/>
      <c r="BL105" s="560"/>
      <c r="BM105" s="330"/>
      <c r="BN105" s="560"/>
      <c r="BO105" s="560"/>
      <c r="BP105" s="560"/>
      <c r="BQ105" s="330"/>
      <c r="BR105" s="560"/>
      <c r="BS105" s="560"/>
      <c r="BT105" s="560"/>
      <c r="BU105" s="330"/>
      <c r="BV105" s="560"/>
      <c r="BW105" s="560"/>
      <c r="BX105" s="560"/>
      <c r="BY105" s="560"/>
    </row>
    <row r="106" spans="1:77" ht="15" thickBot="1">
      <c r="A106" s="231" cm="1">
        <f t="array" ref="A106">INDEX(IMPROVE!AQ$9:AQ$52,MATCH(1,($A$40=IMPROVE!$A$9:$A$52)*($A$44=IMPROVE!$C$9:$C$52),0))</f>
        <v>9.9999999999999978E-2</v>
      </c>
      <c r="B106" s="232" cm="1">
        <f t="array" ref="B106">INDEX(IMPROVE!AR$9:AR$52,MATCH(1,($A$40=IMPROVE!$A$9:$A$52)*($A$44=IMPROVE!$C$9:$C$52),0))</f>
        <v>0.13675130434782606</v>
      </c>
      <c r="C106" s="232" cm="1">
        <f t="array" ref="C106">INDEX(IMPROVE!AS$9:AS$52,MATCH(1,($A$40=IMPROVE!$A$9:$A$52)*($A$44=IMPROVE!$C$9:$C$52),0))</f>
        <v>0.17350260869565207</v>
      </c>
      <c r="D106" s="232" cm="1">
        <f t="array" ref="D106">INDEX(IMPROVE!AT$9:AT$52,MATCH(1,($A$40=IMPROVE!$A$9:$A$52)*($A$44=IMPROVE!$C$9:$C$52),0))</f>
        <v>0.24700521739130435</v>
      </c>
      <c r="E106" s="232" cm="1">
        <f t="array" ref="E106">INDEX(IMPROVE!AU$9:AU$52,MATCH(1,($A$40=IMPROVE!$A$9:$A$52)*($A$44=IMPROVE!$C$9:$C$52),0))</f>
        <v>0.32050782608695644</v>
      </c>
      <c r="F106" s="232" cm="1">
        <f t="array" ref="F106">INDEX(IMPROVE!AV$9:AV$52,MATCH(1,($A$40=IMPROVE!$A$9:$A$52)*($A$44=IMPROVE!$C$9:$C$52),0))</f>
        <v>0.39401043478260872</v>
      </c>
      <c r="G106" s="233" cm="1">
        <f t="array" ref="G106">INDEX(IMPROVE!AW$9:AW$52,MATCH(1,($A$40=IMPROVE!$A$9:$A$52)*($A$44=IMPROVE!$C$9:$C$52),0))</f>
        <v>0.46751304347826089</v>
      </c>
      <c r="AP106" s="330"/>
      <c r="AQ106" s="330"/>
      <c r="AR106" s="330"/>
      <c r="AS106" s="330"/>
      <c r="AU106" s="330"/>
      <c r="AV106" s="330"/>
      <c r="AW106" s="330"/>
      <c r="AY106" s="330"/>
      <c r="AZ106" s="560"/>
      <c r="BA106" s="330"/>
      <c r="BB106" s="560"/>
      <c r="BC106" s="560"/>
      <c r="BD106" s="560"/>
      <c r="BE106" s="330"/>
      <c r="BF106" s="560"/>
      <c r="BG106" s="560"/>
      <c r="BH106" s="560"/>
      <c r="BI106" s="330"/>
      <c r="BJ106" s="560"/>
      <c r="BK106" s="560"/>
      <c r="BL106" s="560"/>
      <c r="BM106" s="330"/>
      <c r="BN106" s="560"/>
      <c r="BO106" s="560"/>
      <c r="BP106" s="560"/>
      <c r="BQ106" s="330"/>
      <c r="BR106" s="560"/>
      <c r="BS106" s="560"/>
      <c r="BT106" s="560"/>
      <c r="BU106" s="330"/>
      <c r="BV106" s="560"/>
      <c r="BW106" s="560"/>
      <c r="BX106" s="560"/>
      <c r="BY106" s="560"/>
    </row>
    <row r="107" spans="1:77" ht="15" thickBot="1">
      <c r="AP107" s="330"/>
      <c r="AQ107" s="330"/>
      <c r="AR107" s="330"/>
      <c r="AS107" s="330"/>
      <c r="AU107" s="330"/>
      <c r="AV107" s="330"/>
      <c r="AW107" s="330"/>
      <c r="AY107" s="330"/>
      <c r="AZ107" s="560"/>
      <c r="BA107" s="330"/>
      <c r="BB107" s="560"/>
      <c r="BC107" s="560"/>
      <c r="BD107" s="560"/>
      <c r="BE107" s="330"/>
      <c r="BF107" s="560"/>
      <c r="BG107" s="560"/>
      <c r="BH107" s="560"/>
      <c r="BI107" s="330"/>
      <c r="BJ107" s="560"/>
      <c r="BK107" s="560"/>
      <c r="BL107" s="560"/>
      <c r="BM107" s="330"/>
      <c r="BN107" s="560"/>
      <c r="BO107" s="560"/>
      <c r="BP107" s="560"/>
      <c r="BQ107" s="330"/>
      <c r="BR107" s="560"/>
      <c r="BS107" s="560"/>
      <c r="BT107" s="560"/>
      <c r="BU107" s="330"/>
      <c r="BV107" s="560"/>
      <c r="BW107" s="560"/>
      <c r="BX107" s="560"/>
      <c r="BY107" s="560"/>
    </row>
    <row r="108" spans="1:77">
      <c r="A108" s="228" t="s">
        <v>151</v>
      </c>
      <c r="B108" s="125"/>
      <c r="C108" s="125"/>
      <c r="D108" s="125"/>
      <c r="E108" s="125"/>
      <c r="F108" s="125"/>
      <c r="G108" s="229"/>
      <c r="AP108" s="330"/>
      <c r="AQ108" s="330"/>
      <c r="AR108" s="330"/>
      <c r="AS108" s="330"/>
      <c r="AU108" s="330"/>
      <c r="AV108" s="330"/>
      <c r="AW108" s="330"/>
      <c r="AY108" s="330"/>
      <c r="AZ108" s="560"/>
      <c r="BA108" s="330"/>
      <c r="BB108" s="560"/>
      <c r="BC108" s="560"/>
      <c r="BD108" s="560"/>
      <c r="BE108" s="330"/>
      <c r="BF108" s="560"/>
      <c r="BG108" s="560"/>
      <c r="BH108" s="560"/>
      <c r="BI108" s="330"/>
      <c r="BJ108" s="560"/>
      <c r="BK108" s="560"/>
      <c r="BL108" s="560"/>
      <c r="BM108" s="330"/>
      <c r="BN108" s="560"/>
      <c r="BO108" s="560"/>
      <c r="BP108" s="560"/>
      <c r="BQ108" s="330"/>
      <c r="BR108" s="560"/>
      <c r="BS108" s="560"/>
      <c r="BT108" s="560"/>
      <c r="BU108" s="330"/>
      <c r="BV108" s="560"/>
      <c r="BW108" s="560"/>
      <c r="BX108" s="560"/>
      <c r="BY108" s="560"/>
    </row>
    <row r="109" spans="1:77">
      <c r="A109" s="708" t="s">
        <v>145</v>
      </c>
      <c r="B109" s="583"/>
      <c r="C109" s="583"/>
      <c r="D109" s="583"/>
      <c r="E109" s="583"/>
      <c r="F109" s="583"/>
      <c r="G109" s="709"/>
      <c r="AP109" s="330"/>
      <c r="AQ109" s="330"/>
      <c r="AR109" s="330"/>
      <c r="AS109" s="330"/>
      <c r="AU109" s="330"/>
      <c r="AV109" s="330"/>
      <c r="AW109" s="330"/>
      <c r="AY109" s="330"/>
      <c r="AZ109" s="560"/>
      <c r="BA109" s="330"/>
      <c r="BB109" s="560"/>
      <c r="BC109" s="560"/>
      <c r="BD109" s="560"/>
      <c r="BE109" s="330"/>
      <c r="BF109" s="560"/>
      <c r="BG109" s="560"/>
      <c r="BH109" s="560"/>
      <c r="BI109" s="330"/>
      <c r="BJ109" s="560"/>
      <c r="BK109" s="560"/>
      <c r="BL109" s="560"/>
      <c r="BM109" s="330"/>
      <c r="BN109" s="560"/>
      <c r="BO109" s="560"/>
      <c r="BP109" s="560"/>
      <c r="BQ109" s="330"/>
      <c r="BR109" s="560"/>
      <c r="BS109" s="560"/>
      <c r="BT109" s="560"/>
      <c r="BU109" s="330"/>
      <c r="BV109" s="560"/>
      <c r="BW109" s="560"/>
      <c r="BX109" s="560"/>
      <c r="BY109" s="560"/>
    </row>
    <row r="110" spans="1:77" ht="15" thickBot="1">
      <c r="A110" s="230">
        <v>0</v>
      </c>
      <c r="B110" s="3">
        <v>0.1</v>
      </c>
      <c r="C110" s="3">
        <v>0.2</v>
      </c>
      <c r="D110" s="3">
        <v>0.4</v>
      </c>
      <c r="E110" s="3">
        <v>0.6</v>
      </c>
      <c r="F110" s="3">
        <v>0.8</v>
      </c>
      <c r="G110" s="85">
        <v>1</v>
      </c>
      <c r="AP110" s="330"/>
      <c r="AQ110" s="330"/>
      <c r="AR110" s="330"/>
      <c r="AS110" s="330"/>
      <c r="AU110" s="330"/>
      <c r="AV110" s="330"/>
      <c r="AW110" s="330"/>
      <c r="AY110" s="330"/>
      <c r="AZ110" s="560"/>
      <c r="BA110" s="330"/>
      <c r="BB110" s="560"/>
      <c r="BC110" s="560"/>
      <c r="BD110" s="560"/>
      <c r="BE110" s="330"/>
      <c r="BF110" s="560"/>
      <c r="BG110" s="560"/>
      <c r="BH110" s="560"/>
      <c r="BI110" s="330"/>
      <c r="BJ110" s="560"/>
      <c r="BK110" s="560"/>
      <c r="BL110" s="560"/>
      <c r="BM110" s="330"/>
      <c r="BN110" s="560"/>
      <c r="BO110" s="560"/>
      <c r="BP110" s="560"/>
      <c r="BQ110" s="330"/>
      <c r="BR110" s="560"/>
      <c r="BS110" s="560"/>
      <c r="BT110" s="560"/>
      <c r="BU110" s="330"/>
      <c r="BV110" s="560"/>
      <c r="BW110" s="560"/>
      <c r="BX110" s="560"/>
      <c r="BY110" s="560"/>
    </row>
    <row r="111" spans="1:77" ht="15" thickBot="1">
      <c r="A111" s="231" cm="1">
        <f t="array" ref="A111">INDEX(IMPROVE!AX$9:AX$52,MATCH(1,($A$40=IMPROVE!$A$9:$A$52)*($A$44=IMPROVE!$C$9:$C$52),0))</f>
        <v>0.19999999999999996</v>
      </c>
      <c r="B111" s="232" cm="1">
        <f t="array" ref="B111">INDEX(IMPROVE!AY$9:AY$52,MATCH(1,($A$40=IMPROVE!$A$9:$A$52)*($A$44=IMPROVE!$C$9:$C$52),0))</f>
        <v>0.22675130434782598</v>
      </c>
      <c r="C111" s="232" cm="1">
        <f t="array" ref="C111">INDEX(IMPROVE!AZ$9:AZ$52,MATCH(1,($A$40=IMPROVE!$A$9:$A$52)*($A$44=IMPROVE!$C$9:$C$52),0))</f>
        <v>0.25350260869565211</v>
      </c>
      <c r="D111" s="232" cm="1">
        <f t="array" ref="D111">INDEX(IMPROVE!BA$9:BA$52,MATCH(1,($A$40=IMPROVE!$A$9:$A$52)*($A$44=IMPROVE!$C$9:$C$52),0))</f>
        <v>0.30700521739130437</v>
      </c>
      <c r="E111" s="232" cm="1">
        <f t="array" ref="E111">INDEX(IMPROVE!BB$9:BB$52,MATCH(1,($A$40=IMPROVE!$A$9:$A$52)*($A$44=IMPROVE!$C$9:$C$52),0))</f>
        <v>0.36050782608695647</v>
      </c>
      <c r="F111" s="232" cm="1">
        <f t="array" ref="F111">INDEX(IMPROVE!BC$9:BC$52,MATCH(1,($A$40=IMPROVE!$A$9:$A$52)*($A$44=IMPROVE!$C$9:$C$52),0))</f>
        <v>0.41401043478260874</v>
      </c>
      <c r="G111" s="233" cm="1">
        <f t="array" ref="G111">INDEX(IMPROVE!BD$9:BD$52,MATCH(1,($A$40=IMPROVE!$A$9:$A$52)*($A$44=IMPROVE!$C$9:$C$52),0))</f>
        <v>0.46751304347826089</v>
      </c>
      <c r="AP111" s="330"/>
      <c r="AQ111" s="330"/>
      <c r="AR111" s="330"/>
      <c r="AS111" s="330"/>
      <c r="AU111" s="330"/>
      <c r="AV111" s="330"/>
      <c r="AW111" s="330"/>
      <c r="AY111" s="330"/>
      <c r="AZ111" s="560"/>
      <c r="BA111" s="330"/>
      <c r="BB111" s="560"/>
      <c r="BC111" s="560"/>
      <c r="BD111" s="560"/>
      <c r="BE111" s="330"/>
      <c r="BF111" s="560"/>
      <c r="BG111" s="560"/>
      <c r="BH111" s="560"/>
      <c r="BI111" s="330"/>
      <c r="BJ111" s="560"/>
      <c r="BK111" s="560"/>
      <c r="BL111" s="560"/>
      <c r="BM111" s="330"/>
      <c r="BN111" s="560"/>
      <c r="BO111" s="560"/>
      <c r="BP111" s="560"/>
      <c r="BQ111" s="330"/>
      <c r="BR111" s="560"/>
      <c r="BS111" s="560"/>
      <c r="BT111" s="560"/>
      <c r="BU111" s="330"/>
      <c r="BV111" s="560"/>
      <c r="BW111" s="560"/>
      <c r="BX111" s="560"/>
      <c r="BY111" s="560"/>
    </row>
    <row r="112" spans="1:77" ht="15" thickBot="1">
      <c r="AP112" s="330"/>
      <c r="AQ112" s="330"/>
      <c r="AR112" s="330"/>
      <c r="AS112" s="330"/>
      <c r="AU112" s="330"/>
      <c r="AV112" s="330"/>
      <c r="AW112" s="330"/>
      <c r="AY112" s="330"/>
      <c r="AZ112" s="560"/>
      <c r="BA112" s="330"/>
      <c r="BB112" s="560"/>
      <c r="BC112" s="560"/>
      <c r="BD112" s="560"/>
      <c r="BE112" s="330"/>
      <c r="BF112" s="560"/>
      <c r="BG112" s="560"/>
      <c r="BH112" s="560"/>
      <c r="BI112" s="330"/>
      <c r="BJ112" s="560"/>
      <c r="BK112" s="560"/>
      <c r="BL112" s="560"/>
      <c r="BM112" s="330"/>
      <c r="BN112" s="560"/>
      <c r="BO112" s="560"/>
      <c r="BP112" s="560"/>
      <c r="BQ112" s="330"/>
      <c r="BR112" s="560"/>
      <c r="BS112" s="560"/>
      <c r="BT112" s="560"/>
      <c r="BU112" s="330"/>
      <c r="BV112" s="560"/>
      <c r="BW112" s="560"/>
      <c r="BX112" s="560"/>
      <c r="BY112" s="560"/>
    </row>
    <row r="113" spans="1:167">
      <c r="A113" s="228" t="s">
        <v>152</v>
      </c>
      <c r="B113" s="125"/>
      <c r="C113" s="125"/>
      <c r="D113" s="125"/>
      <c r="E113" s="125"/>
      <c r="F113" s="125"/>
      <c r="G113" s="229"/>
      <c r="AP113" s="330"/>
      <c r="AQ113" s="330"/>
      <c r="AR113" s="330"/>
      <c r="AS113" s="330"/>
      <c r="AU113" s="330"/>
      <c r="AV113" s="330"/>
      <c r="AW113" s="330"/>
      <c r="AY113" s="330"/>
      <c r="AZ113" s="560"/>
      <c r="BA113" s="330"/>
      <c r="BB113" s="560"/>
      <c r="BC113" s="560"/>
      <c r="BD113" s="560"/>
      <c r="BE113" s="330"/>
      <c r="BF113" s="560"/>
      <c r="BG113" s="560"/>
      <c r="BH113" s="560"/>
      <c r="BI113" s="330"/>
      <c r="BJ113" s="560"/>
      <c r="BK113" s="560"/>
      <c r="BL113" s="560"/>
      <c r="BM113" s="330"/>
      <c r="BN113" s="560"/>
      <c r="BO113" s="560"/>
      <c r="BP113" s="560"/>
      <c r="BQ113" s="330"/>
      <c r="BR113" s="560"/>
      <c r="BS113" s="560"/>
      <c r="BT113" s="560"/>
      <c r="BU113" s="330"/>
      <c r="BV113" s="560"/>
      <c r="BW113" s="560"/>
      <c r="BX113" s="560"/>
      <c r="BY113" s="560"/>
    </row>
    <row r="114" spans="1:167">
      <c r="A114" s="708" t="s">
        <v>145</v>
      </c>
      <c r="B114" s="583"/>
      <c r="C114" s="583"/>
      <c r="D114" s="583"/>
      <c r="E114" s="583"/>
      <c r="F114" s="583"/>
      <c r="G114" s="709"/>
      <c r="AP114" s="330"/>
      <c r="AQ114" s="330"/>
      <c r="AR114" s="330"/>
      <c r="AS114" s="330"/>
      <c r="AU114" s="330"/>
      <c r="AV114" s="330"/>
      <c r="AW114" s="330"/>
      <c r="AY114" s="330"/>
      <c r="AZ114" s="560"/>
      <c r="BA114" s="330"/>
      <c r="BB114" s="560"/>
      <c r="BC114" s="560"/>
      <c r="BD114" s="560"/>
      <c r="BE114" s="330"/>
      <c r="BF114" s="560"/>
      <c r="BG114" s="560"/>
      <c r="BH114" s="560"/>
      <c r="BI114" s="330"/>
      <c r="BJ114" s="560"/>
      <c r="BK114" s="560"/>
      <c r="BL114" s="560"/>
      <c r="BM114" s="330"/>
      <c r="BN114" s="560"/>
      <c r="BO114" s="560"/>
      <c r="BP114" s="560"/>
      <c r="BQ114" s="330"/>
      <c r="BR114" s="560"/>
      <c r="BS114" s="560"/>
      <c r="BT114" s="560"/>
      <c r="BU114" s="330"/>
      <c r="BV114" s="560"/>
      <c r="BW114" s="560"/>
      <c r="BX114" s="560"/>
      <c r="BY114" s="560"/>
    </row>
    <row r="115" spans="1:167" ht="15" thickBot="1">
      <c r="A115" s="230">
        <v>0</v>
      </c>
      <c r="B115" s="3">
        <v>0.1</v>
      </c>
      <c r="C115" s="3">
        <v>0.2</v>
      </c>
      <c r="D115" s="3">
        <v>0.4</v>
      </c>
      <c r="E115" s="3">
        <v>0.6</v>
      </c>
      <c r="F115" s="3">
        <v>0.8</v>
      </c>
      <c r="G115" s="85">
        <v>1</v>
      </c>
      <c r="AY115" s="330"/>
    </row>
    <row r="116" spans="1:167" ht="15" thickBot="1">
      <c r="A116" s="231" cm="1">
        <f t="array" ref="A116">INDEX(IMPROVE!BE$9:BE$52,MATCH(1,($A$40=IMPROVE!$A$9:$A$52)*($A$44=IMPROVE!$C$9:$C$52),0))</f>
        <v>0.30000000000000004</v>
      </c>
      <c r="B116" s="232" cm="1">
        <f t="array" ref="B116">INDEX(IMPROVE!BF$9:BF$52,MATCH(1,($A$40=IMPROVE!$A$9:$A$52)*($A$44=IMPROVE!$C$9:$C$52),0))</f>
        <v>0.31675130434782611</v>
      </c>
      <c r="C116" s="232" cm="1">
        <f t="array" ref="C116">INDEX(IMPROVE!BG$9:BG$52,MATCH(1,($A$40=IMPROVE!$A$9:$A$52)*($A$44=IMPROVE!$C$9:$C$52),0))</f>
        <v>0.33350260869565213</v>
      </c>
      <c r="D116" s="232" cm="1">
        <f t="array" ref="D116">INDEX(IMPROVE!BH$9:BH$52,MATCH(1,($A$40=IMPROVE!$A$9:$A$52)*($A$44=IMPROVE!$C$9:$C$52),0))</f>
        <v>0.36700521739130437</v>
      </c>
      <c r="E116" s="232" cm="1">
        <f t="array" ref="E116">INDEX(IMPROVE!BI$9:BI$52,MATCH(1,($A$40=IMPROVE!$A$9:$A$52)*($A$44=IMPROVE!$C$9:$C$52),0))</f>
        <v>0.40050782608695656</v>
      </c>
      <c r="F116" s="232" cm="1">
        <f t="array" ref="F116">INDEX(IMPROVE!BJ$9:BJ$52,MATCH(1,($A$40=IMPROVE!$A$9:$A$52)*($A$44=IMPROVE!$C$9:$C$52),0))</f>
        <v>0.4340104347826087</v>
      </c>
      <c r="G116" s="233" cm="1">
        <f t="array" ref="G116">INDEX(IMPROVE!BK$9:BK$52,MATCH(1,($A$40=IMPROVE!$A$9:$A$52)*($A$44=IMPROVE!$C$9:$C$52),0))</f>
        <v>0.46751304347826089</v>
      </c>
      <c r="AP116" s="330"/>
      <c r="AQ116" s="330"/>
      <c r="AR116" s="330"/>
      <c r="AS116" s="330"/>
      <c r="AU116" s="330"/>
      <c r="AV116" s="330"/>
      <c r="AW116" s="330"/>
      <c r="AY116" s="330"/>
      <c r="AZ116" s="330"/>
      <c r="BA116" s="330"/>
      <c r="BB116" s="330"/>
      <c r="BC116" s="330"/>
      <c r="BD116" s="330"/>
      <c r="BE116" s="330"/>
      <c r="BF116" s="330"/>
      <c r="BG116" s="330"/>
      <c r="BH116" s="330"/>
      <c r="BI116" s="330"/>
      <c r="BJ116" s="330"/>
      <c r="BK116" s="330"/>
      <c r="BL116" s="330"/>
      <c r="BM116" s="330"/>
      <c r="BN116" s="330"/>
      <c r="BO116" s="330"/>
      <c r="BP116" s="330"/>
      <c r="BQ116" s="330"/>
      <c r="BR116" s="330"/>
      <c r="BS116" s="330"/>
      <c r="BT116" s="330"/>
      <c r="BU116" s="330"/>
      <c r="BV116" s="330"/>
      <c r="BW116" s="330"/>
      <c r="BX116" s="330"/>
      <c r="BY116" s="330"/>
    </row>
    <row r="117" spans="1:167">
      <c r="AP117" s="64"/>
      <c r="AQ117" s="64"/>
      <c r="AR117" s="64"/>
      <c r="AS117" s="64"/>
      <c r="AU117" s="64"/>
      <c r="AV117" s="64"/>
      <c r="AW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row>
    <row r="118" spans="1:167">
      <c r="AP118" s="5"/>
      <c r="AQ118" s="5"/>
      <c r="AR118" s="5"/>
      <c r="AS118" s="5"/>
      <c r="AU118" s="5"/>
      <c r="AV118" s="5"/>
      <c r="AW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row>
    <row r="121" spans="1:167" ht="15" thickBot="1">
      <c r="EY121" s="3">
        <f>'1 StrategyMix for CarbonTargets'!V46</f>
        <v>0.8</v>
      </c>
    </row>
    <row r="122" spans="1:167" ht="72.5">
      <c r="EX122" s="228"/>
      <c r="EY122" s="125" t="s">
        <v>226</v>
      </c>
      <c r="EZ122" s="569" t="s">
        <v>227</v>
      </c>
      <c r="FA122" s="570" t="s">
        <v>218</v>
      </c>
      <c r="FB122" s="570" t="s">
        <v>224</v>
      </c>
      <c r="FC122" s="126" t="str">
        <f>HLOOKUP(FC$1,'Main calculations'!$EY$5:$IW$40,2,FALSE)</f>
        <v>80% BEV</v>
      </c>
      <c r="FD122" s="571" t="str">
        <f>HLOOKUP(FD$1,'Main calculations'!$EY$5:$IW$40,2,FALSE)</f>
        <v>ICE fuel efficiency@80%BEV</v>
      </c>
      <c r="FE122" s="572" t="s">
        <v>265</v>
      </c>
      <c r="FF122" s="572" t="s">
        <v>254</v>
      </c>
      <c r="FG122" s="572" t="s">
        <v>253</v>
      </c>
      <c r="FH122" s="573" t="s">
        <v>119</v>
      </c>
      <c r="FI122" s="573" t="s">
        <v>118</v>
      </c>
      <c r="FJ122" s="573" t="s">
        <v>127</v>
      </c>
      <c r="FK122" s="574" t="s">
        <v>129</v>
      </c>
    </row>
    <row r="123" spans="1:167">
      <c r="EX123" s="346">
        <v>1990</v>
      </c>
      <c r="EY123" s="5">
        <f>EY7</f>
        <v>1</v>
      </c>
      <c r="EZ123" s="5">
        <f>HLOOKUP(EZ$1,'Main calculations'!$EY$5:$IW$40,3,FALSE)</f>
        <v>0</v>
      </c>
      <c r="FA123" s="5">
        <f>HLOOKUP(FA$1,'Main calculations'!$EY$5:$IW$40,3,FALSE)</f>
        <v>1</v>
      </c>
      <c r="FB123" s="5">
        <f>HLOOKUP(FB$1,'Main calculations'!$EY$5:$IW$40,3,FALSE)</f>
        <v>0</v>
      </c>
      <c r="FC123" s="5">
        <f>HLOOKUP(FC$1,'Main calculations'!$EY$5:$IW$40,3,FALSE)</f>
        <v>0</v>
      </c>
      <c r="FD123" s="5">
        <f>HLOOKUP(FD$1,'Main calculations'!$EY$5:$IW$40,3,FALSE)</f>
        <v>0</v>
      </c>
      <c r="FE123" s="5">
        <f>HLOOKUP(FE$1,'Main calculations'!$EY$5:$IW$40,3,FALSE)</f>
        <v>0</v>
      </c>
      <c r="FF123" s="5">
        <f>HLOOKUP(FF$1,'Main calculations'!$EY$5:$IW$40,3,FALSE)</f>
        <v>0</v>
      </c>
      <c r="FG123" s="5">
        <f>HLOOKUP(FG$1,'Main calculations'!$EY$5:$IW$40,3,FALSE)</f>
        <v>0</v>
      </c>
      <c r="FH123" s="5">
        <f>HLOOKUP(FH$1,'Main calculations'!$EY$5:$IW$40,3,FALSE)</f>
        <v>0</v>
      </c>
      <c r="FI123" s="5">
        <f>HLOOKUP(FI$1,'Main calculations'!$EY$5:$IW$40,3,FALSE)</f>
        <v>0</v>
      </c>
      <c r="FJ123" s="5">
        <f>HLOOKUP(FJ$1,'Main calculations'!$EY$5:$IW$40,3,FALSE)</f>
        <v>0</v>
      </c>
      <c r="FK123" s="108">
        <f>HLOOKUP(FK$1,'Main calculations'!$EY$5:$IW$40,3,FALSE)</f>
        <v>0</v>
      </c>
    </row>
    <row r="124" spans="1:167">
      <c r="EX124" s="89">
        <v>2000</v>
      </c>
      <c r="EY124" s="5">
        <f t="shared" ref="EY124:EY156" si="238">EY8</f>
        <v>0.98333333333333328</v>
      </c>
      <c r="EZ124" s="5">
        <f>HLOOKUP(EZ$1,'Main calculations'!$EY$5:$IW$40,4,FALSE)</f>
        <v>0</v>
      </c>
      <c r="FA124" s="5">
        <f>HLOOKUP(FA$1,'Main calculations'!$EY$5:$IW$40,4,FALSE)</f>
        <v>0.98333333333333328</v>
      </c>
      <c r="FB124" s="5">
        <f>HLOOKUP(FB$1,'Main calculations'!$EY$5:$IW$40,4,FALSE)</f>
        <v>0</v>
      </c>
      <c r="FC124" s="5">
        <f>HLOOKUP(FC$1,'Main calculations'!$EY$5:$IW$40,4,FALSE)</f>
        <v>0</v>
      </c>
      <c r="FD124" s="5">
        <f>HLOOKUP(FD$1,'Main calculations'!$EY$5:$IW$40,4,FALSE)</f>
        <v>0</v>
      </c>
      <c r="FE124" s="5">
        <f>HLOOKUP(FE$1,'Main calculations'!$EY$5:$IW$40,4,FALSE)</f>
        <v>0</v>
      </c>
      <c r="FF124" s="5">
        <f>HLOOKUP(FF$1,'Main calculations'!$EY$5:$IW$40,4,FALSE)</f>
        <v>0</v>
      </c>
      <c r="FG124" s="5">
        <f>HLOOKUP(FG$1,'Main calculations'!$EY$5:$IW$40,4,FALSE)</f>
        <v>0</v>
      </c>
      <c r="FH124" s="5">
        <f>HLOOKUP(FH$1,'Main calculations'!$EY$5:$IW$40,4,FALSE)</f>
        <v>0</v>
      </c>
      <c r="FI124" s="5">
        <f>HLOOKUP(FI$1,'Main calculations'!$EY$5:$IW$40,4,FALSE)</f>
        <v>0</v>
      </c>
      <c r="FJ124" s="5">
        <f>HLOOKUP(FJ$1,'Main calculations'!$EY$5:$IW$40,4,FALSE)</f>
        <v>0</v>
      </c>
      <c r="FK124" s="108">
        <f>HLOOKUP(FK$1,'Main calculations'!$EY$5:$IW$40,4,FALSE)</f>
        <v>0</v>
      </c>
    </row>
    <row r="125" spans="1:167">
      <c r="EX125" s="346">
        <v>2010</v>
      </c>
      <c r="EY125" s="5">
        <f t="shared" si="238"/>
        <v>0.96666666666666656</v>
      </c>
      <c r="EZ125" s="5">
        <f>HLOOKUP(EZ$1,'Main calculations'!$EY$5:$IW$40,5,FALSE)</f>
        <v>0</v>
      </c>
      <c r="FA125" s="5">
        <f>HLOOKUP(FA$1,'Main calculations'!$EY$5:$IW$40,5,FALSE)</f>
        <v>0.96666666666666656</v>
      </c>
      <c r="FB125" s="5">
        <f>HLOOKUP(FB$1,'Main calculations'!$EY$5:$IW$40,5,FALSE)</f>
        <v>0</v>
      </c>
      <c r="FC125" s="5">
        <f>HLOOKUP(FC$1,'Main calculations'!$EY$5:$IW$40,5,FALSE)</f>
        <v>0</v>
      </c>
      <c r="FD125" s="5">
        <f>HLOOKUP(FD$1,'Main calculations'!$EY$5:$IW$40,5,FALSE)</f>
        <v>0</v>
      </c>
      <c r="FE125" s="5">
        <f>HLOOKUP(FE$1,'Main calculations'!$EY$5:$IW$40,5,FALSE)</f>
        <v>0</v>
      </c>
      <c r="FF125" s="5">
        <f>HLOOKUP(FF$1,'Main calculations'!$EY$5:$IW$40,5,FALSE)</f>
        <v>0</v>
      </c>
      <c r="FG125" s="5">
        <f>HLOOKUP(FG$1,'Main calculations'!$EY$5:$IW$40,5,FALSE)</f>
        <v>0</v>
      </c>
      <c r="FH125" s="5">
        <f>HLOOKUP(FH$1,'Main calculations'!$EY$5:$IW$40,5,FALSE)</f>
        <v>0</v>
      </c>
      <c r="FI125" s="5">
        <f>HLOOKUP(FI$1,'Main calculations'!$EY$5:$IW$40,5,FALSE)</f>
        <v>0</v>
      </c>
      <c r="FJ125" s="5">
        <f>HLOOKUP(FJ$1,'Main calculations'!$EY$5:$IW$40,5,FALSE)</f>
        <v>0</v>
      </c>
      <c r="FK125" s="108">
        <f>HLOOKUP(FK$1,'Main calculations'!$EY$5:$IW$40,5,FALSE)</f>
        <v>0</v>
      </c>
    </row>
    <row r="126" spans="1:167">
      <c r="EX126" s="346">
        <v>2020</v>
      </c>
      <c r="EY126" s="5">
        <f t="shared" si="238"/>
        <v>0.95</v>
      </c>
      <c r="EZ126" s="5">
        <f>HLOOKUP(EZ$1,'Main calculations'!$EY$5:$IW$40,6,FALSE)</f>
        <v>0.95</v>
      </c>
      <c r="FA126" s="5">
        <f>HLOOKUP(FA$1,'Main calculations'!$EY$5:$IW$40,6,FALSE)</f>
        <v>0.95</v>
      </c>
      <c r="FB126" s="5">
        <f>HLOOKUP(FB$1,'Main calculations'!$EY$5:$IW$40,6,FALSE)</f>
        <v>0</v>
      </c>
      <c r="FC126" s="5">
        <f>HLOOKUP(FC$1,'Main calculations'!$EY$5:$IW$40,6,FALSE)</f>
        <v>0</v>
      </c>
      <c r="FD126" s="5">
        <f>HLOOKUP(FD$1,'Main calculations'!$EY$5:$IW$40,6,FALSE)</f>
        <v>0</v>
      </c>
      <c r="FE126" s="5">
        <f>HLOOKUP(FE$1,'Main calculations'!$EY$5:$IW$40,6,FALSE)</f>
        <v>0</v>
      </c>
      <c r="FF126" s="5">
        <f>HLOOKUP(FF$1,'Main calculations'!$EY$5:$IW$40,6,FALSE)</f>
        <v>0</v>
      </c>
      <c r="FG126" s="5">
        <f>HLOOKUP(FG$1,'Main calculations'!$EY$5:$IW$40,6,FALSE)</f>
        <v>0</v>
      </c>
      <c r="FH126" s="5">
        <f>HLOOKUP(FH$1,'Main calculations'!$EY$5:$IW$40,6,FALSE)</f>
        <v>0</v>
      </c>
      <c r="FI126" s="5">
        <f>HLOOKUP(FI$1,'Main calculations'!$EY$5:$IW$40,6,FALSE)</f>
        <v>0</v>
      </c>
      <c r="FJ126" s="5">
        <f>HLOOKUP(FJ$1,'Main calculations'!$EY$5:$IW$40,6,FALSE)</f>
        <v>0</v>
      </c>
      <c r="FK126" s="108">
        <f>HLOOKUP(FK$1,'Main calculations'!$EY$5:$IW$40,6,FALSE)</f>
        <v>0</v>
      </c>
    </row>
    <row r="127" spans="1:167">
      <c r="EX127" s="89">
        <v>2021</v>
      </c>
      <c r="EY127" s="5">
        <f t="shared" si="238"/>
        <v>0.95333333333333325</v>
      </c>
      <c r="EZ127" s="5">
        <f>HLOOKUP(EZ$1,'Main calculations'!$EY$5:$IW$40,7,FALSE)</f>
        <v>0</v>
      </c>
      <c r="FA127" s="5">
        <f>HLOOKUP(FA$1,'Main calculations'!$EY$5:$IW$40,7,FALSE)</f>
        <v>0.93404941176470579</v>
      </c>
      <c r="FB127" s="5">
        <f>HLOOKUP(FB$1,'Main calculations'!$EY$5:$IW$40,7,FALSE)</f>
        <v>0.05</v>
      </c>
      <c r="FC127" s="5">
        <f>HLOOKUP(FC$1,'Main calculations'!$EY$5:$IW$40,7,FALSE)</f>
        <v>0</v>
      </c>
      <c r="FD127" s="5">
        <f>HLOOKUP(FD$1,'Main calculations'!$EY$5:$IW$40,7,FALSE)</f>
        <v>4.9905882352941156E-3</v>
      </c>
      <c r="FE127" s="5">
        <f>HLOOKUP(FE$1,'Main calculations'!$EY$5:$IW$40,7,FALSE)</f>
        <v>8.1751824817518637E-3</v>
      </c>
      <c r="FF127" s="5">
        <f>HLOOKUP(FF$1,'Main calculations'!$EY$5:$IW$40,7,FALSE)</f>
        <v>3.4793187347932353E-3</v>
      </c>
      <c r="FG127" s="5">
        <f>HLOOKUP(FG$1,'Main calculations'!$EY$5:$IW$40,7,FALSE)</f>
        <v>1.6788321167883202E-3</v>
      </c>
      <c r="FH127" s="5">
        <f>HLOOKUP(FH$1,'Main calculations'!$EY$5:$IW$40,7,FALSE)</f>
        <v>0</v>
      </c>
      <c r="FI127" s="5">
        <f>HLOOKUP(FI$1,'Main calculations'!$EY$5:$IW$40,7,FALSE)</f>
        <v>0</v>
      </c>
      <c r="FJ127" s="5">
        <f>HLOOKUP(FJ$1,'Main calculations'!$EY$5:$IW$40,7,FALSE)</f>
        <v>0</v>
      </c>
      <c r="FK127" s="108">
        <f>HLOOKUP(FK$1,'Main calculations'!$EY$5:$IW$40,7,FALSE)</f>
        <v>9.5999999999996088E-4</v>
      </c>
    </row>
    <row r="128" spans="1:167">
      <c r="EX128" s="89">
        <v>2022</v>
      </c>
      <c r="EY128" s="5">
        <f t="shared" si="238"/>
        <v>0.95666666666666667</v>
      </c>
      <c r="EZ128" s="5">
        <f>HLOOKUP(EZ$1,'Main calculations'!$EY$5:$IW$40,8,FALSE)</f>
        <v>0</v>
      </c>
      <c r="FA128" s="5">
        <f>HLOOKUP(FA$1,'Main calculations'!$EY$5:$IW$40,8,FALSE)</f>
        <v>0.91809882352941174</v>
      </c>
      <c r="FB128" s="5">
        <f>HLOOKUP(FB$1,'Main calculations'!$EY$5:$IW$40,8,FALSE)</f>
        <v>0.05</v>
      </c>
      <c r="FC128" s="5">
        <f>HLOOKUP(FC$1,'Main calculations'!$EY$5:$IW$40,8,FALSE)</f>
        <v>0</v>
      </c>
      <c r="FD128" s="5">
        <f>HLOOKUP(FD$1,'Main calculations'!$EY$5:$IW$40,8,FALSE)</f>
        <v>9.9811764705882312E-3</v>
      </c>
      <c r="FE128" s="5">
        <f>HLOOKUP(FE$1,'Main calculations'!$EY$5:$IW$40,8,FALSE)</f>
        <v>1.6350364963503616E-2</v>
      </c>
      <c r="FF128" s="5">
        <f>HLOOKUP(FF$1,'Main calculations'!$EY$5:$IW$40,8,FALSE)</f>
        <v>6.9586374695863595E-3</v>
      </c>
      <c r="FG128" s="5">
        <f>HLOOKUP(FG$1,'Main calculations'!$EY$5:$IW$40,8,FALSE)</f>
        <v>3.3576642335766405E-3</v>
      </c>
      <c r="FH128" s="5">
        <f>HLOOKUP(FH$1,'Main calculations'!$EY$5:$IW$40,8,FALSE)</f>
        <v>0</v>
      </c>
      <c r="FI128" s="5">
        <f>HLOOKUP(FI$1,'Main calculations'!$EY$5:$IW$40,8,FALSE)</f>
        <v>0</v>
      </c>
      <c r="FJ128" s="5">
        <f>HLOOKUP(FJ$1,'Main calculations'!$EY$5:$IW$40,8,FALSE)</f>
        <v>0</v>
      </c>
      <c r="FK128" s="108">
        <f>HLOOKUP(FK$1,'Main calculations'!$EY$5:$IW$40,8,FALSE)</f>
        <v>1.9200000000000328E-3</v>
      </c>
    </row>
    <row r="129" spans="154:167">
      <c r="EX129" s="89">
        <v>2023</v>
      </c>
      <c r="EY129" s="5">
        <f t="shared" si="238"/>
        <v>0.96</v>
      </c>
      <c r="EZ129" s="5">
        <f>HLOOKUP(EZ$1,'Main calculations'!$EY$5:$IW$40,9,FALSE)</f>
        <v>0</v>
      </c>
      <c r="FA129" s="5">
        <f>HLOOKUP(FA$1,'Main calculations'!$EY$5:$IW$40,9,FALSE)</f>
        <v>0.89813662603421418</v>
      </c>
      <c r="FB129" s="5">
        <f>HLOOKUP(FB$1,'Main calculations'!$EY$5:$IW$40,9,FALSE)</f>
        <v>0.05</v>
      </c>
      <c r="FC129" s="5">
        <f>HLOOKUP(FC$1,'Main calculations'!$EY$5:$IW$40,9,FALSE)</f>
        <v>6.2080537043478273E-3</v>
      </c>
      <c r="FD129" s="5">
        <f>HLOOKUP(FD$1,'Main calculations'!$EY$5:$IW$40,9,FALSE)</f>
        <v>1.2525320261437906E-2</v>
      </c>
      <c r="FE129" s="5">
        <f>HLOOKUP(FE$1,'Main calculations'!$EY$5:$IW$40,9,FALSE)</f>
        <v>2.452554744525548E-2</v>
      </c>
      <c r="FF129" s="5">
        <f>HLOOKUP(FF$1,'Main calculations'!$EY$5:$IW$40,9,FALSE)</f>
        <v>1.0437956204379595E-2</v>
      </c>
      <c r="FG129" s="5">
        <f>HLOOKUP(FG$1,'Main calculations'!$EY$5:$IW$40,9,FALSE)</f>
        <v>5.0364963503649607E-3</v>
      </c>
      <c r="FH129" s="5">
        <f>HLOOKUP(FH$1,'Main calculations'!$EY$5:$IW$40,9,FALSE)</f>
        <v>0</v>
      </c>
      <c r="FI129" s="5">
        <f>HLOOKUP(FI$1,'Main calculations'!$EY$5:$IW$40,9,FALSE)</f>
        <v>0</v>
      </c>
      <c r="FJ129" s="5">
        <f>HLOOKUP(FJ$1,'Main calculations'!$EY$5:$IW$40,9,FALSE)</f>
        <v>2.4999999999997247E-4</v>
      </c>
      <c r="FK129" s="108">
        <f>HLOOKUP(FK$1,'Main calculations'!$EY$5:$IW$40,9,FALSE)</f>
        <v>2.8799999999999937E-3</v>
      </c>
    </row>
    <row r="130" spans="154:167">
      <c r="EX130" s="89">
        <v>2024</v>
      </c>
      <c r="EY130" s="5">
        <f t="shared" si="238"/>
        <v>0.96333333333333326</v>
      </c>
      <c r="EZ130" s="5">
        <f>HLOOKUP(EZ$1,'Main calculations'!$EY$5:$IW$40,10,FALSE)</f>
        <v>0</v>
      </c>
      <c r="FA130" s="5">
        <f>HLOOKUP(FA$1,'Main calculations'!$EY$5:$IW$40,10,FALSE)</f>
        <v>0.87781323146075596</v>
      </c>
      <c r="FB130" s="5">
        <f>HLOOKUP(FB$1,'Main calculations'!$EY$5:$IW$40,10,FALSE)</f>
        <v>0.05</v>
      </c>
      <c r="FC130" s="5">
        <f>HLOOKUP(FC$1,'Main calculations'!$EY$5:$IW$40,10,FALSE)</f>
        <v>1.2777304486956523E-2</v>
      </c>
      <c r="FD130" s="5">
        <f>HLOOKUP(FD$1,'Main calculations'!$EY$5:$IW$40,10,FALSE)</f>
        <v>1.5069464052287573E-2</v>
      </c>
      <c r="FE130" s="5">
        <f>HLOOKUP(FE$1,'Main calculations'!$EY$5:$IW$40,10,FALSE)</f>
        <v>3.2700729927007344E-2</v>
      </c>
      <c r="FF130" s="5">
        <f>HLOOKUP(FF$1,'Main calculations'!$EY$5:$IW$40,10,FALSE)</f>
        <v>1.3917274939172719E-2</v>
      </c>
      <c r="FG130" s="5">
        <f>HLOOKUP(FG$1,'Main calculations'!$EY$5:$IW$40,10,FALSE)</f>
        <v>6.7153284671532809E-3</v>
      </c>
      <c r="FH130" s="5">
        <f>HLOOKUP(FH$1,'Main calculations'!$EY$5:$IW$40,10,FALSE)</f>
        <v>0</v>
      </c>
      <c r="FI130" s="5">
        <f>HLOOKUP(FI$1,'Main calculations'!$EY$5:$IW$40,10,FALSE)</f>
        <v>0</v>
      </c>
      <c r="FJ130" s="5">
        <f>HLOOKUP(FJ$1,'Main calculations'!$EY$5:$IW$40,10,FALSE)</f>
        <v>4.9999999999994493E-4</v>
      </c>
      <c r="FK130" s="108">
        <f>HLOOKUP(FK$1,'Main calculations'!$EY$5:$IW$40,10,FALSE)</f>
        <v>3.8399999999999546E-3</v>
      </c>
    </row>
    <row r="131" spans="154:167">
      <c r="EX131" s="89">
        <v>2025</v>
      </c>
      <c r="EY131" s="5">
        <f t="shared" si="238"/>
        <v>0.96666666666666667</v>
      </c>
      <c r="EZ131" s="5">
        <f>HLOOKUP(EZ$1,'Main calculations'!$EY$5:$IW$40,11,FALSE)</f>
        <v>0</v>
      </c>
      <c r="FA131" s="5">
        <f>HLOOKUP(FA$1,'Main calculations'!$EY$5:$IW$40,11,FALSE)</f>
        <v>0.85626325519365198</v>
      </c>
      <c r="FB131" s="5">
        <f>HLOOKUP(FB$1,'Main calculations'!$EY$5:$IW$40,11,FALSE)</f>
        <v>0.05</v>
      </c>
      <c r="FC131" s="5">
        <f>HLOOKUP(FC$1,'Main calculations'!$EY$5:$IW$40,11,FALSE)</f>
        <v>1.9707752347826089E-2</v>
      </c>
      <c r="FD131" s="5">
        <f>HLOOKUP(FD$1,'Main calculations'!$EY$5:$IW$40,11,FALSE)</f>
        <v>1.7613607843137244E-2</v>
      </c>
      <c r="FE131" s="5">
        <f>HLOOKUP(FE$1,'Main calculations'!$EY$5:$IW$40,11,FALSE)</f>
        <v>4.0875912408759096E-2</v>
      </c>
      <c r="FF131" s="5">
        <f>HLOOKUP(FF$1,'Main calculations'!$EY$5:$IW$40,11,FALSE)</f>
        <v>1.7396593673965954E-2</v>
      </c>
      <c r="FG131" s="5">
        <f>HLOOKUP(FG$1,'Main calculations'!$EY$5:$IW$40,11,FALSE)</f>
        <v>8.3941605839416011E-3</v>
      </c>
      <c r="FH131" s="5">
        <f>HLOOKUP(FH$1,'Main calculations'!$EY$5:$IW$40,11,FALSE)</f>
        <v>0</v>
      </c>
      <c r="FI131" s="5">
        <f>HLOOKUP(FI$1,'Main calculations'!$EY$5:$IW$40,11,FALSE)</f>
        <v>8.6538461538465672E-4</v>
      </c>
      <c r="FJ131" s="5">
        <f>HLOOKUP(FJ$1,'Main calculations'!$EY$5:$IW$40,11,FALSE)</f>
        <v>7.5000000000002842E-4</v>
      </c>
      <c r="FK131" s="108">
        <f>HLOOKUP(FK$1,'Main calculations'!$EY$5:$IW$40,11,FALSE)</f>
        <v>4.8000000000000265E-3</v>
      </c>
    </row>
    <row r="132" spans="154:167">
      <c r="EX132" s="89">
        <v>2026</v>
      </c>
      <c r="EY132" s="5">
        <f t="shared" si="238"/>
        <v>0.97</v>
      </c>
      <c r="EZ132" s="5">
        <f>HLOOKUP(EZ$1,'Main calculations'!$EY$5:$IW$40,12,FALSE)</f>
        <v>0</v>
      </c>
      <c r="FA132" s="5">
        <f>HLOOKUP(FA$1,'Main calculations'!$EY$5:$IW$40,12,FALSE)</f>
        <v>0.83435208184828735</v>
      </c>
      <c r="FB132" s="5">
        <f>HLOOKUP(FB$1,'Main calculations'!$EY$5:$IW$40,12,FALSE)</f>
        <v>0.05</v>
      </c>
      <c r="FC132" s="5">
        <f>HLOOKUP(FC$1,'Main calculations'!$EY$5:$IW$40,12,FALSE)</f>
        <v>2.6999397286956529E-2</v>
      </c>
      <c r="FD132" s="5">
        <f>HLOOKUP(FD$1,'Main calculations'!$EY$5:$IW$40,12,FALSE)</f>
        <v>2.015775163398692E-2</v>
      </c>
      <c r="FE132" s="5">
        <f>HLOOKUP(FE$1,'Main calculations'!$EY$5:$IW$40,12,FALSE)</f>
        <v>4.905109489051096E-2</v>
      </c>
      <c r="FF132" s="5">
        <f>HLOOKUP(FF$1,'Main calculations'!$EY$5:$IW$40,12,FALSE)</f>
        <v>2.0875912408759079E-2</v>
      </c>
      <c r="FG132" s="5">
        <f>HLOOKUP(FG$1,'Main calculations'!$EY$5:$IW$40,12,FALSE)</f>
        <v>1.0072992700729921E-2</v>
      </c>
      <c r="FH132" s="5">
        <f>HLOOKUP(FH$1,'Main calculations'!$EY$5:$IW$40,12,FALSE)</f>
        <v>0</v>
      </c>
      <c r="FI132" s="5">
        <f>HLOOKUP(FI$1,'Main calculations'!$EY$5:$IW$40,12,FALSE)</f>
        <v>1.7307692307692024E-3</v>
      </c>
      <c r="FJ132" s="5">
        <f>HLOOKUP(FJ$1,'Main calculations'!$EY$5:$IW$40,12,FALSE)</f>
        <v>1.0000000000000009E-3</v>
      </c>
      <c r="FK132" s="108">
        <f>HLOOKUP(FK$1,'Main calculations'!$EY$5:$IW$40,12,FALSE)</f>
        <v>5.7599999999999874E-3</v>
      </c>
    </row>
    <row r="133" spans="154:167">
      <c r="EX133" s="89">
        <v>2027</v>
      </c>
      <c r="EY133" s="5">
        <f t="shared" si="238"/>
        <v>0.97333333333333327</v>
      </c>
      <c r="EZ133" s="5">
        <f>HLOOKUP(EZ$1,'Main calculations'!$EY$5:$IW$40,13,FALSE)</f>
        <v>0</v>
      </c>
      <c r="FA133" s="5">
        <f>HLOOKUP(FA$1,'Main calculations'!$EY$5:$IW$40,13,FALSE)</f>
        <v>0.81207971142466173</v>
      </c>
      <c r="FB133" s="5">
        <f>HLOOKUP(FB$1,'Main calculations'!$EY$5:$IW$40,13,FALSE)</f>
        <v>0.05</v>
      </c>
      <c r="FC133" s="5">
        <f>HLOOKUP(FC$1,'Main calculations'!$EY$5:$IW$40,13,FALSE)</f>
        <v>3.4652239304347833E-2</v>
      </c>
      <c r="FD133" s="5">
        <f>HLOOKUP(FD$1,'Main calculations'!$EY$5:$IW$40,13,FALSE)</f>
        <v>2.2701895424836589E-2</v>
      </c>
      <c r="FE133" s="5">
        <f>HLOOKUP(FE$1,'Main calculations'!$EY$5:$IW$40,13,FALSE)</f>
        <v>5.7226277372262824E-2</v>
      </c>
      <c r="FF133" s="5">
        <f>HLOOKUP(FF$1,'Main calculations'!$EY$5:$IW$40,13,FALSE)</f>
        <v>2.4355231143552314E-2</v>
      </c>
      <c r="FG133" s="5">
        <f>HLOOKUP(FG$1,'Main calculations'!$EY$5:$IW$40,13,FALSE)</f>
        <v>1.1751824817518242E-2</v>
      </c>
      <c r="FH133" s="5">
        <f>HLOOKUP(FH$1,'Main calculations'!$EY$5:$IW$40,13,FALSE)</f>
        <v>0</v>
      </c>
      <c r="FI133" s="5">
        <f>HLOOKUP(FI$1,'Main calculations'!$EY$5:$IW$40,13,FALSE)</f>
        <v>2.5961538461538591E-3</v>
      </c>
      <c r="FJ133" s="5">
        <f>HLOOKUP(FJ$1,'Main calculations'!$EY$5:$IW$40,13,FALSE)</f>
        <v>1.2499999999999734E-3</v>
      </c>
      <c r="FK133" s="108">
        <f>HLOOKUP(FK$1,'Main calculations'!$EY$5:$IW$40,13,FALSE)</f>
        <v>6.7199999999999482E-3</v>
      </c>
    </row>
    <row r="134" spans="154:167">
      <c r="EX134" s="89">
        <v>2028</v>
      </c>
      <c r="EY134" s="5">
        <f t="shared" si="238"/>
        <v>0.97666666666666657</v>
      </c>
      <c r="EZ134" s="5">
        <f>HLOOKUP(EZ$1,'Main calculations'!$EY$5:$IW$40,14,FALSE)</f>
        <v>0</v>
      </c>
      <c r="FA134" s="5">
        <f>HLOOKUP(FA$1,'Main calculations'!$EY$5:$IW$40,14,FALSE)</f>
        <v>0.78944614392277512</v>
      </c>
      <c r="FB134" s="5">
        <f>HLOOKUP(FB$1,'Main calculations'!$EY$5:$IW$40,14,FALSE)</f>
        <v>0.05</v>
      </c>
      <c r="FC134" s="5">
        <f>HLOOKUP(FC$1,'Main calculations'!$EY$5:$IW$40,14,FALSE)</f>
        <v>4.2666278400000007E-2</v>
      </c>
      <c r="FD134" s="5">
        <f>HLOOKUP(FD$1,'Main calculations'!$EY$5:$IW$40,14,FALSE)</f>
        <v>2.5246039215686265E-2</v>
      </c>
      <c r="FE134" s="5">
        <f>HLOOKUP(FE$1,'Main calculations'!$EY$5:$IW$40,14,FALSE)</f>
        <v>6.5401459854014576E-2</v>
      </c>
      <c r="FF134" s="5">
        <f>HLOOKUP(FF$1,'Main calculations'!$EY$5:$IW$40,14,FALSE)</f>
        <v>2.7834549878345549E-2</v>
      </c>
      <c r="FG134" s="5">
        <f>HLOOKUP(FG$1,'Main calculations'!$EY$5:$IW$40,14,FALSE)</f>
        <v>1.3430656934306562E-2</v>
      </c>
      <c r="FH134" s="5">
        <f>HLOOKUP(FH$1,'Main calculations'!$EY$5:$IW$40,14,FALSE)</f>
        <v>0</v>
      </c>
      <c r="FI134" s="5">
        <f>HLOOKUP(FI$1,'Main calculations'!$EY$5:$IW$40,14,FALSE)</f>
        <v>3.4615384615385159E-3</v>
      </c>
      <c r="FJ134" s="5">
        <f>HLOOKUP(FJ$1,'Main calculations'!$EY$5:$IW$40,14,FALSE)</f>
        <v>1.4999999999999458E-3</v>
      </c>
      <c r="FK134" s="108">
        <f>HLOOKUP(FK$1,'Main calculations'!$EY$5:$IW$40,14,FALSE)</f>
        <v>7.6800000000000201E-3</v>
      </c>
    </row>
    <row r="135" spans="154:167">
      <c r="EX135" s="89">
        <v>2029</v>
      </c>
      <c r="EY135" s="5">
        <f t="shared" si="238"/>
        <v>0.98</v>
      </c>
      <c r="EZ135" s="5">
        <f>HLOOKUP(EZ$1,'Main calculations'!$EY$5:$IW$40,15,FALSE)</f>
        <v>0</v>
      </c>
      <c r="FA135" s="5">
        <f>HLOOKUP(FA$1,'Main calculations'!$EY$5:$IW$40,15,FALSE)</f>
        <v>0.76645137934262797</v>
      </c>
      <c r="FB135" s="5">
        <f>HLOOKUP(FB$1,'Main calculations'!$EY$5:$IW$40,15,FALSE)</f>
        <v>0.05</v>
      </c>
      <c r="FC135" s="5">
        <f>HLOOKUP(FC$1,'Main calculations'!$EY$5:$IW$40,15,FALSE)</f>
        <v>5.1041514573913045E-2</v>
      </c>
      <c r="FD135" s="5">
        <f>HLOOKUP(FD$1,'Main calculations'!$EY$5:$IW$40,15,FALSE)</f>
        <v>2.7790183006535945E-2</v>
      </c>
      <c r="FE135" s="5">
        <f>HLOOKUP(FE$1,'Main calculations'!$EY$5:$IW$40,15,FALSE)</f>
        <v>7.357664233576644E-2</v>
      </c>
      <c r="FF135" s="5">
        <f>HLOOKUP(FF$1,'Main calculations'!$EY$5:$IW$40,15,FALSE)</f>
        <v>3.1313868613138673E-2</v>
      </c>
      <c r="FG135" s="5">
        <f>HLOOKUP(FG$1,'Main calculations'!$EY$5:$IW$40,15,FALSE)</f>
        <v>1.5109489051094882E-2</v>
      </c>
      <c r="FH135" s="5">
        <f>HLOOKUP(FH$1,'Main calculations'!$EY$5:$IW$40,15,FALSE)</f>
        <v>0</v>
      </c>
      <c r="FI135" s="5">
        <f>HLOOKUP(FI$1,'Main calculations'!$EY$5:$IW$40,15,FALSE)</f>
        <v>4.3269230769230616E-3</v>
      </c>
      <c r="FJ135" s="5">
        <f>HLOOKUP(FJ$1,'Main calculations'!$EY$5:$IW$40,15,FALSE)</f>
        <v>1.7500000000000293E-3</v>
      </c>
      <c r="FK135" s="108">
        <f>HLOOKUP(FK$1,'Main calculations'!$EY$5:$IW$40,15,FALSE)</f>
        <v>8.639999999999981E-3</v>
      </c>
    </row>
    <row r="136" spans="154:167">
      <c r="EX136" s="89">
        <v>2030</v>
      </c>
      <c r="EY136" s="5">
        <f t="shared" si="238"/>
        <v>0.98333333333333328</v>
      </c>
      <c r="EZ136" s="5">
        <f>HLOOKUP(EZ$1,'Main calculations'!$EY$5:$IW$40,16,FALSE)</f>
        <v>0</v>
      </c>
      <c r="FA136" s="5">
        <f>HLOOKUP(FA$1,'Main calculations'!$EY$5:$IW$40,16,FALSE)</f>
        <v>0.73988113196993388</v>
      </c>
      <c r="FB136" s="5">
        <f>HLOOKUP(FB$1,'Main calculations'!$EY$5:$IW$40,16,FALSE)</f>
        <v>0.05</v>
      </c>
      <c r="FC136" s="5">
        <f>HLOOKUP(FC$1,'Main calculations'!$EY$5:$IW$40,16,FALSE)</f>
        <v>5.9777947826086968E-2</v>
      </c>
      <c r="FD136" s="5">
        <f>HLOOKUP(FD$1,'Main calculations'!$EY$5:$IW$40,16,FALSE)</f>
        <v>3.0334326797385611E-2</v>
      </c>
      <c r="FE136" s="5">
        <f>HLOOKUP(FE$1,'Main calculations'!$EY$5:$IW$40,16,FALSE)</f>
        <v>8.1751824817518193E-2</v>
      </c>
      <c r="FF136" s="5">
        <f>HLOOKUP(FF$1,'Main calculations'!$EY$5:$IW$40,16,FALSE)</f>
        <v>3.4793187347931909E-2</v>
      </c>
      <c r="FG136" s="5">
        <f>HLOOKUP(FG$1,'Main calculations'!$EY$5:$IW$40,16,FALSE)</f>
        <v>1.6788321167883202E-2</v>
      </c>
      <c r="FH136" s="5">
        <f>HLOOKUP(FH$1,'Main calculations'!$EY$5:$IW$40,16,FALSE)</f>
        <v>3.2142857142857251E-3</v>
      </c>
      <c r="FI136" s="5">
        <f>HLOOKUP(FI$1,'Main calculations'!$EY$5:$IW$40,16,FALSE)</f>
        <v>5.1923076923077183E-3</v>
      </c>
      <c r="FJ136" s="5">
        <f>HLOOKUP(FJ$1,'Main calculations'!$EY$5:$IW$40,16,FALSE)</f>
        <v>2.0000000000000018E-3</v>
      </c>
      <c r="FK136" s="108">
        <f>HLOOKUP(FK$1,'Main calculations'!$EY$5:$IW$40,16,FALSE)</f>
        <v>9.6000000000000529E-3</v>
      </c>
    </row>
    <row r="137" spans="154:167">
      <c r="EX137" s="89">
        <v>2031</v>
      </c>
      <c r="EY137" s="5">
        <f t="shared" si="238"/>
        <v>0.98666666666666658</v>
      </c>
      <c r="EZ137" s="5">
        <f>HLOOKUP(EZ$1,'Main calculations'!$EY$5:$IW$40,17,FALSE)</f>
        <v>0</v>
      </c>
      <c r="FA137" s="5">
        <f>HLOOKUP(FA$1,'Main calculations'!$EY$5:$IW$40,17,FALSE)</f>
        <v>0.71294968751897925</v>
      </c>
      <c r="FB137" s="5">
        <f>HLOOKUP(FB$1,'Main calculations'!$EY$5:$IW$40,17,FALSE)</f>
        <v>0.05</v>
      </c>
      <c r="FC137" s="5">
        <f>HLOOKUP(FC$1,'Main calculations'!$EY$5:$IW$40,17,FALSE)</f>
        <v>6.8875578156521747E-2</v>
      </c>
      <c r="FD137" s="5">
        <f>HLOOKUP(FD$1,'Main calculations'!$EY$5:$IW$40,17,FALSE)</f>
        <v>3.2878470588235273E-2</v>
      </c>
      <c r="FE137" s="5">
        <f>HLOOKUP(FE$1,'Main calculations'!$EY$5:$IW$40,17,FALSE)</f>
        <v>8.9927007299270056E-2</v>
      </c>
      <c r="FF137" s="5">
        <f>HLOOKUP(FF$1,'Main calculations'!$EY$5:$IW$40,17,FALSE)</f>
        <v>3.8272506082725033E-2</v>
      </c>
      <c r="FG137" s="5">
        <f>HLOOKUP(FG$1,'Main calculations'!$EY$5:$IW$40,17,FALSE)</f>
        <v>1.8467153284671523E-2</v>
      </c>
      <c r="FH137" s="5">
        <f>HLOOKUP(FH$1,'Main calculations'!$EY$5:$IW$40,17,FALSE)</f>
        <v>6.4285714285714501E-3</v>
      </c>
      <c r="FI137" s="5">
        <f>HLOOKUP(FI$1,'Main calculations'!$EY$5:$IW$40,17,FALSE)</f>
        <v>6.057692307692264E-3</v>
      </c>
      <c r="FJ137" s="5">
        <f>HLOOKUP(FJ$1,'Main calculations'!$EY$5:$IW$40,17,FALSE)</f>
        <v>2.2499999999999742E-3</v>
      </c>
      <c r="FK137" s="108">
        <f>HLOOKUP(FK$1,'Main calculations'!$EY$5:$IW$40,17,FALSE)</f>
        <v>1.0560000000000014E-2</v>
      </c>
    </row>
    <row r="138" spans="154:167">
      <c r="EX138" s="89">
        <v>2032</v>
      </c>
      <c r="EY138" s="5">
        <f t="shared" si="238"/>
        <v>0.99</v>
      </c>
      <c r="EZ138" s="5">
        <f>HLOOKUP(EZ$1,'Main calculations'!$EY$5:$IW$40,18,FALSE)</f>
        <v>0</v>
      </c>
      <c r="FA138" s="5">
        <f>HLOOKUP(FA$1,'Main calculations'!$EY$5:$IW$40,18,FALSE)</f>
        <v>0.68565704598976362</v>
      </c>
      <c r="FB138" s="5">
        <f>HLOOKUP(FB$1,'Main calculations'!$EY$5:$IW$40,18,FALSE)</f>
        <v>0.05</v>
      </c>
      <c r="FC138" s="5">
        <f>HLOOKUP(FC$1,'Main calculations'!$EY$5:$IW$40,18,FALSE)</f>
        <v>7.8334405565217397E-2</v>
      </c>
      <c r="FD138" s="5">
        <f>HLOOKUP(FD$1,'Main calculations'!$EY$5:$IW$40,18,FALSE)</f>
        <v>3.5422614379084956E-2</v>
      </c>
      <c r="FE138" s="5">
        <f>HLOOKUP(FE$1,'Main calculations'!$EY$5:$IW$40,18,FALSE)</f>
        <v>9.810218978102192E-2</v>
      </c>
      <c r="FF138" s="5">
        <f>HLOOKUP(FF$1,'Main calculations'!$EY$5:$IW$40,18,FALSE)</f>
        <v>4.1751824817518268E-2</v>
      </c>
      <c r="FG138" s="5">
        <f>HLOOKUP(FG$1,'Main calculations'!$EY$5:$IW$40,18,FALSE)</f>
        <v>2.0145985401459843E-2</v>
      </c>
      <c r="FH138" s="5">
        <f>HLOOKUP(FH$1,'Main calculations'!$EY$5:$IW$40,18,FALSE)</f>
        <v>9.6428571428571752E-3</v>
      </c>
      <c r="FI138" s="5">
        <f>HLOOKUP(FI$1,'Main calculations'!$EY$5:$IW$40,18,FALSE)</f>
        <v>6.9230769230769207E-3</v>
      </c>
      <c r="FJ138" s="5">
        <f>HLOOKUP(FJ$1,'Main calculations'!$EY$5:$IW$40,18,FALSE)</f>
        <v>2.4999999999999467E-3</v>
      </c>
      <c r="FK138" s="108">
        <f>HLOOKUP(FK$1,'Main calculations'!$EY$5:$IW$40,18,FALSE)</f>
        <v>1.1519999999999975E-2</v>
      </c>
    </row>
    <row r="139" spans="154:167">
      <c r="EX139" s="89">
        <v>2033</v>
      </c>
      <c r="EY139" s="5">
        <f t="shared" si="238"/>
        <v>0.99333333333333329</v>
      </c>
      <c r="EZ139" s="5">
        <f>HLOOKUP(EZ$1,'Main calculations'!$EY$5:$IW$40,19,FALSE)</f>
        <v>0</v>
      </c>
      <c r="FA139" s="5">
        <f>HLOOKUP(FA$1,'Main calculations'!$EY$5:$IW$40,19,FALSE)</f>
        <v>0.6580032073822869</v>
      </c>
      <c r="FB139" s="5">
        <f>HLOOKUP(FB$1,'Main calculations'!$EY$5:$IW$40,19,FALSE)</f>
        <v>0.05</v>
      </c>
      <c r="FC139" s="5">
        <f>HLOOKUP(FC$1,'Main calculations'!$EY$5:$IW$40,19,FALSE)</f>
        <v>8.8154430052173924E-2</v>
      </c>
      <c r="FD139" s="5">
        <f>HLOOKUP(FD$1,'Main calculations'!$EY$5:$IW$40,19,FALSE)</f>
        <v>3.7966758169934618E-2</v>
      </c>
      <c r="FE139" s="5">
        <f>HLOOKUP(FE$1,'Main calculations'!$EY$5:$IW$40,19,FALSE)</f>
        <v>0.10627737226277367</v>
      </c>
      <c r="FF139" s="5">
        <f>HLOOKUP(FF$1,'Main calculations'!$EY$5:$IW$40,19,FALSE)</f>
        <v>4.5231143552311392E-2</v>
      </c>
      <c r="FG139" s="5">
        <f>HLOOKUP(FG$1,'Main calculations'!$EY$5:$IW$40,19,FALSE)</f>
        <v>2.1824817518248163E-2</v>
      </c>
      <c r="FH139" s="5">
        <f>HLOOKUP(FH$1,'Main calculations'!$EY$5:$IW$40,19,FALSE)</f>
        <v>1.28571428571429E-2</v>
      </c>
      <c r="FI139" s="5">
        <f>HLOOKUP(FI$1,'Main calculations'!$EY$5:$IW$40,19,FALSE)</f>
        <v>7.7884615384615774E-3</v>
      </c>
      <c r="FJ139" s="5">
        <f>HLOOKUP(FJ$1,'Main calculations'!$EY$5:$IW$40,19,FALSE)</f>
        <v>2.7500000000000302E-3</v>
      </c>
      <c r="FK139" s="108">
        <f>HLOOKUP(FK$1,'Main calculations'!$EY$5:$IW$40,19,FALSE)</f>
        <v>1.2480000000000047E-2</v>
      </c>
    </row>
    <row r="140" spans="154:167">
      <c r="EX140" s="89">
        <v>2034</v>
      </c>
      <c r="EY140" s="5">
        <f t="shared" si="238"/>
        <v>0.99666666666666659</v>
      </c>
      <c r="EZ140" s="5">
        <f>HLOOKUP(EZ$1,'Main calculations'!$EY$5:$IW$40,20,FALSE)</f>
        <v>0</v>
      </c>
      <c r="FA140" s="5">
        <f>HLOOKUP(FA$1,'Main calculations'!$EY$5:$IW$40,20,FALSE)</f>
        <v>0.62998817169654964</v>
      </c>
      <c r="FB140" s="5">
        <f>HLOOKUP(FB$1,'Main calculations'!$EY$5:$IW$40,20,FALSE)</f>
        <v>0.05</v>
      </c>
      <c r="FC140" s="5">
        <f>HLOOKUP(FC$1,'Main calculations'!$EY$5:$IW$40,20,FALSE)</f>
        <v>9.8335651617391329E-2</v>
      </c>
      <c r="FD140" s="5">
        <f>HLOOKUP(FD$1,'Main calculations'!$EY$5:$IW$40,20,FALSE)</f>
        <v>4.0510901960784287E-2</v>
      </c>
      <c r="FE140" s="5">
        <f>HLOOKUP(FE$1,'Main calculations'!$EY$5:$IW$40,20,FALSE)</f>
        <v>0.11445255474452554</v>
      </c>
      <c r="FF140" s="5">
        <f>HLOOKUP(FF$1,'Main calculations'!$EY$5:$IW$40,20,FALSE)</f>
        <v>4.8710462287104628E-2</v>
      </c>
      <c r="FG140" s="5">
        <f>HLOOKUP(FG$1,'Main calculations'!$EY$5:$IW$40,20,FALSE)</f>
        <v>2.3503649635036483E-2</v>
      </c>
      <c r="FH140" s="5">
        <f>HLOOKUP(FH$1,'Main calculations'!$EY$5:$IW$40,20,FALSE)</f>
        <v>1.6071428571428625E-2</v>
      </c>
      <c r="FI140" s="5">
        <f>HLOOKUP(FI$1,'Main calculations'!$EY$5:$IW$40,20,FALSE)</f>
        <v>8.6538461538461231E-3</v>
      </c>
      <c r="FJ140" s="5">
        <f>HLOOKUP(FJ$1,'Main calculations'!$EY$5:$IW$40,20,FALSE)</f>
        <v>3.0000000000000027E-3</v>
      </c>
      <c r="FK140" s="108">
        <f>HLOOKUP(FK$1,'Main calculations'!$EY$5:$IW$40,20,FALSE)</f>
        <v>1.3440000000000007E-2</v>
      </c>
    </row>
    <row r="141" spans="154:167">
      <c r="EX141" s="89">
        <v>2035</v>
      </c>
      <c r="EY141" s="5">
        <f t="shared" si="238"/>
        <v>1</v>
      </c>
      <c r="EZ141" s="5">
        <f>HLOOKUP(EZ$1,'Main calculations'!$EY$5:$IW$40,21,FALSE)</f>
        <v>0</v>
      </c>
      <c r="FA141" s="5">
        <f>HLOOKUP(FA$1,'Main calculations'!$EY$5:$IW$40,21,FALSE)</f>
        <v>0.60161193893255149</v>
      </c>
      <c r="FB141" s="5">
        <f>HLOOKUP(FB$1,'Main calculations'!$EY$5:$IW$40,21,FALSE)</f>
        <v>0.05</v>
      </c>
      <c r="FC141" s="5">
        <f>HLOOKUP(FC$1,'Main calculations'!$EY$5:$IW$40,21,FALSE)</f>
        <v>0.10887807026086958</v>
      </c>
      <c r="FD141" s="5">
        <f>HLOOKUP(FD$1,'Main calculations'!$EY$5:$IW$40,21,FALSE)</f>
        <v>4.3055045751633977E-2</v>
      </c>
      <c r="FE141" s="5">
        <f>HLOOKUP(FE$1,'Main calculations'!$EY$5:$IW$40,21,FALSE)</f>
        <v>0.1226277372262774</v>
      </c>
      <c r="FF141" s="5">
        <f>HLOOKUP(FF$1,'Main calculations'!$EY$5:$IW$40,21,FALSE)</f>
        <v>5.2189781021897752E-2</v>
      </c>
      <c r="FG141" s="5">
        <f>HLOOKUP(FG$1,'Main calculations'!$EY$5:$IW$40,21,FALSE)</f>
        <v>2.5182481751824803E-2</v>
      </c>
      <c r="FH141" s="5">
        <f>HLOOKUP(FH$1,'Main calculations'!$EY$5:$IW$40,21,FALSE)</f>
        <v>1.9285714285714239E-2</v>
      </c>
      <c r="FI141" s="5">
        <f>HLOOKUP(FI$1,'Main calculations'!$EY$5:$IW$40,21,FALSE)</f>
        <v>9.5192307692307798E-3</v>
      </c>
      <c r="FJ141" s="5">
        <f>HLOOKUP(FJ$1,'Main calculations'!$EY$5:$IW$40,21,FALSE)</f>
        <v>3.2499999999999751E-3</v>
      </c>
      <c r="FK141" s="108">
        <f>HLOOKUP(FK$1,'Main calculations'!$EY$5:$IW$40,21,FALSE)</f>
        <v>1.4399999999999968E-2</v>
      </c>
    </row>
    <row r="142" spans="154:167">
      <c r="EX142" s="89">
        <v>2036</v>
      </c>
      <c r="EY142" s="5">
        <f t="shared" si="238"/>
        <v>1.0033333333333332</v>
      </c>
      <c r="EZ142" s="5">
        <f>HLOOKUP(EZ$1,'Main calculations'!$EY$5:$IW$40,22,FALSE)</f>
        <v>0</v>
      </c>
      <c r="FA142" s="5">
        <f>HLOOKUP(FA$1,'Main calculations'!$EY$5:$IW$40,22,FALSE)</f>
        <v>0.57287450909029214</v>
      </c>
      <c r="FB142" s="5">
        <f>HLOOKUP(FB$1,'Main calculations'!$EY$5:$IW$40,22,FALSE)</f>
        <v>0.05</v>
      </c>
      <c r="FC142" s="5">
        <f>HLOOKUP(FC$1,'Main calculations'!$EY$5:$IW$40,22,FALSE)</f>
        <v>0.11978168598260873</v>
      </c>
      <c r="FD142" s="5">
        <f>HLOOKUP(FD$1,'Main calculations'!$EY$5:$IW$40,22,FALSE)</f>
        <v>4.5599189542483681E-2</v>
      </c>
      <c r="FE142" s="5">
        <f>HLOOKUP(FE$1,'Main calculations'!$EY$5:$IW$40,22,FALSE)</f>
        <v>0.13080291970802915</v>
      </c>
      <c r="FF142" s="5">
        <f>HLOOKUP(FF$1,'Main calculations'!$EY$5:$IW$40,22,FALSE)</f>
        <v>5.5669099756690987E-2</v>
      </c>
      <c r="FG142" s="5">
        <f>HLOOKUP(FG$1,'Main calculations'!$EY$5:$IW$40,22,FALSE)</f>
        <v>2.6861313868613124E-2</v>
      </c>
      <c r="FH142" s="5">
        <f>HLOOKUP(FH$1,'Main calculations'!$EY$5:$IW$40,22,FALSE)</f>
        <v>2.2499999999999964E-2</v>
      </c>
      <c r="FI142" s="5">
        <f>HLOOKUP(FI$1,'Main calculations'!$EY$5:$IW$40,22,FALSE)</f>
        <v>1.0384615384615437E-2</v>
      </c>
      <c r="FJ142" s="5">
        <f>HLOOKUP(FJ$1,'Main calculations'!$EY$5:$IW$40,22,FALSE)</f>
        <v>3.4999999999999476E-3</v>
      </c>
      <c r="FK142" s="108">
        <f>HLOOKUP(FK$1,'Main calculations'!$EY$5:$IW$40,22,FALSE)</f>
        <v>1.536000000000004E-2</v>
      </c>
    </row>
    <row r="143" spans="154:167">
      <c r="EX143" s="89">
        <v>2037</v>
      </c>
      <c r="EY143" s="5">
        <f t="shared" si="238"/>
        <v>1.0066666666666666</v>
      </c>
      <c r="EZ143" s="5">
        <f>HLOOKUP(EZ$1,'Main calculations'!$EY$5:$IW$40,23,FALSE)</f>
        <v>0</v>
      </c>
      <c r="FA143" s="5">
        <f>HLOOKUP(FA$1,'Main calculations'!$EY$5:$IW$40,23,FALSE)</f>
        <v>0.54377588216977224</v>
      </c>
      <c r="FB143" s="5">
        <f>HLOOKUP(FB$1,'Main calculations'!$EY$5:$IW$40,23,FALSE)</f>
        <v>0.05</v>
      </c>
      <c r="FC143" s="5">
        <f>HLOOKUP(FC$1,'Main calculations'!$EY$5:$IW$40,23,FALSE)</f>
        <v>0.13104649878260871</v>
      </c>
      <c r="FD143" s="5">
        <f>HLOOKUP(FD$1,'Main calculations'!$EY$5:$IW$40,23,FALSE)</f>
        <v>4.814333333333333E-2</v>
      </c>
      <c r="FE143" s="5">
        <f>HLOOKUP(FE$1,'Main calculations'!$EY$5:$IW$40,23,FALSE)</f>
        <v>0.13897810218978102</v>
      </c>
      <c r="FF143" s="5">
        <f>HLOOKUP(FF$1,'Main calculations'!$EY$5:$IW$40,23,FALSE)</f>
        <v>5.9148418491484223E-2</v>
      </c>
      <c r="FG143" s="5">
        <f>HLOOKUP(FG$1,'Main calculations'!$EY$5:$IW$40,23,FALSE)</f>
        <v>2.8540145985401444E-2</v>
      </c>
      <c r="FH143" s="5">
        <f>HLOOKUP(FH$1,'Main calculations'!$EY$5:$IW$40,23,FALSE)</f>
        <v>2.571428571428569E-2</v>
      </c>
      <c r="FI143" s="5">
        <f>HLOOKUP(FI$1,'Main calculations'!$EY$5:$IW$40,23,FALSE)</f>
        <v>1.1249999999999982E-2</v>
      </c>
      <c r="FJ143" s="5">
        <f>HLOOKUP(FJ$1,'Main calculations'!$EY$5:$IW$40,23,FALSE)</f>
        <v>3.7500000000000311E-3</v>
      </c>
      <c r="FK143" s="108">
        <f>HLOOKUP(FK$1,'Main calculations'!$EY$5:$IW$40,23,FALSE)</f>
        <v>1.6320000000000001E-2</v>
      </c>
    </row>
    <row r="144" spans="154:167">
      <c r="EX144" s="89">
        <v>2038</v>
      </c>
      <c r="EY144" s="5">
        <f t="shared" si="238"/>
        <v>1.01</v>
      </c>
      <c r="EZ144" s="5">
        <f>HLOOKUP(EZ$1,'Main calculations'!$EY$5:$IW$40,24,FALSE)</f>
        <v>0</v>
      </c>
      <c r="FA144" s="5">
        <f>HLOOKUP(FA$1,'Main calculations'!$EY$5:$IW$40,24,FALSE)</f>
        <v>0.51930664640628543</v>
      </c>
      <c r="FB144" s="5">
        <f>HLOOKUP(FB$1,'Main calculations'!$EY$5:$IW$40,24,FALSE)</f>
        <v>0.05</v>
      </c>
      <c r="FC144" s="5">
        <f>HLOOKUP(FC$1,'Main calculations'!$EY$5:$IW$40,24,FALSE)</f>
        <v>0.14267250866086961</v>
      </c>
      <c r="FD144" s="5">
        <f>HLOOKUP(FD$1,'Main calculations'!$EY$5:$IW$40,24,FALSE)</f>
        <v>4.5696888888888884E-2</v>
      </c>
      <c r="FE144" s="5">
        <f>HLOOKUP(FE$1,'Main calculations'!$EY$5:$IW$40,24,FALSE)</f>
        <v>0.14715328467153288</v>
      </c>
      <c r="FF144" s="5">
        <f>HLOOKUP(FF$1,'Main calculations'!$EY$5:$IW$40,24,FALSE)</f>
        <v>6.2627737226277347E-2</v>
      </c>
      <c r="FG144" s="5">
        <f>HLOOKUP(FG$1,'Main calculations'!$EY$5:$IW$40,24,FALSE)</f>
        <v>3.0218978102189764E-2</v>
      </c>
      <c r="FH144" s="5">
        <f>HLOOKUP(FH$1,'Main calculations'!$EY$5:$IW$40,24,FALSE)</f>
        <v>2.8928571428571415E-2</v>
      </c>
      <c r="FI144" s="5">
        <f>HLOOKUP(FI$1,'Main calculations'!$EY$5:$IW$40,24,FALSE)</f>
        <v>1.2115384615384639E-2</v>
      </c>
      <c r="FJ144" s="5">
        <f>HLOOKUP(FJ$1,'Main calculations'!$EY$5:$IW$40,24,FALSE)</f>
        <v>4.0000000000000036E-3</v>
      </c>
      <c r="FK144" s="108">
        <f>HLOOKUP(FK$1,'Main calculations'!$EY$5:$IW$40,24,FALSE)</f>
        <v>1.7279999999999962E-2</v>
      </c>
    </row>
    <row r="145" spans="154:167">
      <c r="EX145" s="89">
        <v>2039</v>
      </c>
      <c r="EY145" s="5">
        <f t="shared" si="238"/>
        <v>1.0133333333333332</v>
      </c>
      <c r="EZ145" s="5">
        <f>HLOOKUP(EZ$1,'Main calculations'!$EY$5:$IW$40,25,FALSE)</f>
        <v>0</v>
      </c>
      <c r="FA145" s="5">
        <f>HLOOKUP(FA$1,'Main calculations'!$EY$5:$IW$40,25,FALSE)</f>
        <v>0.49447621356453775</v>
      </c>
      <c r="FB145" s="5">
        <f>HLOOKUP(FB$1,'Main calculations'!$EY$5:$IW$40,25,FALSE)</f>
        <v>0.05</v>
      </c>
      <c r="FC145" s="5">
        <f>HLOOKUP(FC$1,'Main calculations'!$EY$5:$IW$40,25,FALSE)</f>
        <v>0.15465971561739134</v>
      </c>
      <c r="FD145" s="5">
        <f>HLOOKUP(FD$1,'Main calculations'!$EY$5:$IW$40,25,FALSE)</f>
        <v>4.3250444444444439E-2</v>
      </c>
      <c r="FE145" s="5">
        <f>HLOOKUP(FE$1,'Main calculations'!$EY$5:$IW$40,25,FALSE)</f>
        <v>0.15532846715328463</v>
      </c>
      <c r="FF145" s="5">
        <f>HLOOKUP(FF$1,'Main calculations'!$EY$5:$IW$40,25,FALSE)</f>
        <v>6.6107055961070582E-2</v>
      </c>
      <c r="FG145" s="5">
        <f>HLOOKUP(FG$1,'Main calculations'!$EY$5:$IW$40,25,FALSE)</f>
        <v>3.1897810218978084E-2</v>
      </c>
      <c r="FH145" s="5">
        <f>HLOOKUP(FH$1,'Main calculations'!$EY$5:$IW$40,25,FALSE)</f>
        <v>3.214285714285714E-2</v>
      </c>
      <c r="FI145" s="5">
        <f>HLOOKUP(FI$1,'Main calculations'!$EY$5:$IW$40,25,FALSE)</f>
        <v>1.2980769230769185E-2</v>
      </c>
      <c r="FJ145" s="5">
        <f>HLOOKUP(FJ$1,'Main calculations'!$EY$5:$IW$40,25,FALSE)</f>
        <v>4.249999999999976E-3</v>
      </c>
      <c r="FK145" s="108">
        <f>HLOOKUP(FK$1,'Main calculations'!$EY$5:$IW$40,25,FALSE)</f>
        <v>1.8240000000000034E-2</v>
      </c>
    </row>
    <row r="146" spans="154:167">
      <c r="EX146" s="89">
        <v>2040</v>
      </c>
      <c r="EY146" s="5">
        <f t="shared" si="238"/>
        <v>1.0166666666666666</v>
      </c>
      <c r="EZ146" s="5">
        <f>HLOOKUP(EZ$1,'Main calculations'!$EY$5:$IW$40,26,FALSE)</f>
        <v>0</v>
      </c>
      <c r="FA146" s="5">
        <f>HLOOKUP(FA$1,'Main calculations'!$EY$5:$IW$40,26,FALSE)</f>
        <v>0.4692845836445293</v>
      </c>
      <c r="FB146" s="5">
        <f>HLOOKUP(FB$1,'Main calculations'!$EY$5:$IW$40,26,FALSE)</f>
        <v>0.05</v>
      </c>
      <c r="FC146" s="5">
        <f>HLOOKUP(FC$1,'Main calculations'!$EY$5:$IW$40,26,FALSE)</f>
        <v>0.16700811965217396</v>
      </c>
      <c r="FD146" s="5">
        <f>HLOOKUP(FD$1,'Main calculations'!$EY$5:$IW$40,26,FALSE)</f>
        <v>4.0804000000000021E-2</v>
      </c>
      <c r="FE146" s="5">
        <f>HLOOKUP(FE$1,'Main calculations'!$EY$5:$IW$40,26,FALSE)</f>
        <v>0.1635036496350365</v>
      </c>
      <c r="FF146" s="5">
        <f>HLOOKUP(FF$1,'Main calculations'!$EY$5:$IW$40,26,FALSE)</f>
        <v>6.9586374695863706E-2</v>
      </c>
      <c r="FG146" s="5">
        <f>HLOOKUP(FG$1,'Main calculations'!$EY$5:$IW$40,26,FALSE)</f>
        <v>3.3576642335766405E-2</v>
      </c>
      <c r="FH146" s="5">
        <f>HLOOKUP(FH$1,'Main calculations'!$EY$5:$IW$40,26,FALSE)</f>
        <v>3.5357142857142865E-2</v>
      </c>
      <c r="FI146" s="5">
        <f>HLOOKUP(FI$1,'Main calculations'!$EY$5:$IW$40,26,FALSE)</f>
        <v>1.3846153846153841E-2</v>
      </c>
      <c r="FJ146" s="5">
        <f>HLOOKUP(FJ$1,'Main calculations'!$EY$5:$IW$40,26,FALSE)</f>
        <v>4.4999999999999485E-3</v>
      </c>
      <c r="FK146" s="108">
        <f>HLOOKUP(FK$1,'Main calculations'!$EY$5:$IW$40,26,FALSE)</f>
        <v>1.9199999999999995E-2</v>
      </c>
    </row>
    <row r="147" spans="154:167">
      <c r="EX147" s="89">
        <v>2041</v>
      </c>
      <c r="EY147" s="5">
        <f t="shared" si="238"/>
        <v>1.02</v>
      </c>
      <c r="EZ147" s="5">
        <f>HLOOKUP(EZ$1,'Main calculations'!$EY$5:$IW$40,27,FALSE)</f>
        <v>0</v>
      </c>
      <c r="FA147" s="5">
        <f>HLOOKUP(FA$1,'Main calculations'!$EY$5:$IW$40,27,FALSE)</f>
        <v>0.44373175664625986</v>
      </c>
      <c r="FB147" s="5">
        <f>HLOOKUP(FB$1,'Main calculations'!$EY$5:$IW$40,27,FALSE)</f>
        <v>0.05</v>
      </c>
      <c r="FC147" s="5">
        <f>HLOOKUP(FC$1,'Main calculations'!$EY$5:$IW$40,27,FALSE)</f>
        <v>0.17971772076521747</v>
      </c>
      <c r="FD147" s="5">
        <f>HLOOKUP(FD$1,'Main calculations'!$EY$5:$IW$40,27,FALSE)</f>
        <v>3.8357555555555554E-2</v>
      </c>
      <c r="FE147" s="5">
        <f>HLOOKUP(FE$1,'Main calculations'!$EY$5:$IW$40,27,FALSE)</f>
        <v>0.17167883211678836</v>
      </c>
      <c r="FF147" s="5">
        <f>HLOOKUP(FF$1,'Main calculations'!$EY$5:$IW$40,27,FALSE)</f>
        <v>7.3065693430656942E-2</v>
      </c>
      <c r="FG147" s="5">
        <f>HLOOKUP(FG$1,'Main calculations'!$EY$5:$IW$40,27,FALSE)</f>
        <v>3.5255474452554725E-2</v>
      </c>
      <c r="FH147" s="5">
        <f>HLOOKUP(FH$1,'Main calculations'!$EY$5:$IW$40,27,FALSE)</f>
        <v>3.857142857142859E-2</v>
      </c>
      <c r="FI147" s="5">
        <f>HLOOKUP(FI$1,'Main calculations'!$EY$5:$IW$40,27,FALSE)</f>
        <v>1.4711538461538498E-2</v>
      </c>
      <c r="FJ147" s="5">
        <f>HLOOKUP(FJ$1,'Main calculations'!$EY$5:$IW$40,27,FALSE)</f>
        <v>4.750000000000032E-3</v>
      </c>
      <c r="FK147" s="108">
        <f>HLOOKUP(FK$1,'Main calculations'!$EY$5:$IW$40,27,FALSE)</f>
        <v>2.0159999999999956E-2</v>
      </c>
    </row>
    <row r="148" spans="154:167">
      <c r="EX148" s="89">
        <v>2042</v>
      </c>
      <c r="EY148" s="5">
        <f t="shared" si="238"/>
        <v>1.0233333333333332</v>
      </c>
      <c r="EZ148" s="5">
        <f>HLOOKUP(EZ$1,'Main calculations'!$EY$5:$IW$40,28,FALSE)</f>
        <v>0</v>
      </c>
      <c r="FA148" s="5">
        <f>HLOOKUP(FA$1,'Main calculations'!$EY$5:$IW$40,28,FALSE)</f>
        <v>0.41781773256972943</v>
      </c>
      <c r="FB148" s="5">
        <f>HLOOKUP(FB$1,'Main calculations'!$EY$5:$IW$40,28,FALSE)</f>
        <v>0.05</v>
      </c>
      <c r="FC148" s="5">
        <f>HLOOKUP(FC$1,'Main calculations'!$EY$5:$IW$40,28,FALSE)</f>
        <v>0.1927885189565218</v>
      </c>
      <c r="FD148" s="5">
        <f>HLOOKUP(FD$1,'Main calculations'!$EY$5:$IW$40,28,FALSE)</f>
        <v>3.5911111111111116E-2</v>
      </c>
      <c r="FE148" s="5">
        <f>HLOOKUP(FE$1,'Main calculations'!$EY$5:$IW$40,28,FALSE)</f>
        <v>0.17985401459854022</v>
      </c>
      <c r="FF148" s="5">
        <f>HLOOKUP(FF$1,'Main calculations'!$EY$5:$IW$40,28,FALSE)</f>
        <v>7.6545012165450177E-2</v>
      </c>
      <c r="FG148" s="5">
        <f>HLOOKUP(FG$1,'Main calculations'!$EY$5:$IW$40,28,FALSE)</f>
        <v>3.6934306569343045E-2</v>
      </c>
      <c r="FH148" s="5">
        <f>HLOOKUP(FH$1,'Main calculations'!$EY$5:$IW$40,28,FALSE)</f>
        <v>4.1785714285714315E-2</v>
      </c>
      <c r="FI148" s="5">
        <f>HLOOKUP(FI$1,'Main calculations'!$EY$5:$IW$40,28,FALSE)</f>
        <v>1.5576923076923044E-2</v>
      </c>
      <c r="FJ148" s="5">
        <f>HLOOKUP(FJ$1,'Main calculations'!$EY$5:$IW$40,28,FALSE)</f>
        <v>5.0000000000000044E-3</v>
      </c>
      <c r="FK148" s="108">
        <f>HLOOKUP(FK$1,'Main calculations'!$EY$5:$IW$40,28,FALSE)</f>
        <v>2.1120000000000028E-2</v>
      </c>
    </row>
    <row r="149" spans="154:167">
      <c r="EX149" s="89">
        <v>2043</v>
      </c>
      <c r="EY149" s="5">
        <f t="shared" si="238"/>
        <v>1.0266666666666666</v>
      </c>
      <c r="EZ149" s="5">
        <f>HLOOKUP(EZ$1,'Main calculations'!$EY$5:$IW$40,29,FALSE)</f>
        <v>0</v>
      </c>
      <c r="FA149" s="5">
        <f>HLOOKUP(FA$1,'Main calculations'!$EY$5:$IW$40,29,FALSE)</f>
        <v>0.39154251141493857</v>
      </c>
      <c r="FB149" s="5">
        <f>HLOOKUP(FB$1,'Main calculations'!$EY$5:$IW$40,29,FALSE)</f>
        <v>0.05</v>
      </c>
      <c r="FC149" s="5">
        <f>HLOOKUP(FC$1,'Main calculations'!$EY$5:$IW$40,29,FALSE)</f>
        <v>0.20622051422608706</v>
      </c>
      <c r="FD149" s="5">
        <f>HLOOKUP(FD$1,'Main calculations'!$EY$5:$IW$40,29,FALSE)</f>
        <v>3.346466666666667E-2</v>
      </c>
      <c r="FE149" s="5">
        <f>HLOOKUP(FE$1,'Main calculations'!$EY$5:$IW$40,29,FALSE)</f>
        <v>0.18802919708029198</v>
      </c>
      <c r="FF149" s="5">
        <f>HLOOKUP(FF$1,'Main calculations'!$EY$5:$IW$40,29,FALSE)</f>
        <v>8.0024330900243301E-2</v>
      </c>
      <c r="FG149" s="5">
        <f>HLOOKUP(FG$1,'Main calculations'!$EY$5:$IW$40,29,FALSE)</f>
        <v>3.8613138686131365E-2</v>
      </c>
      <c r="FH149" s="5">
        <f>HLOOKUP(FH$1,'Main calculations'!$EY$5:$IW$40,29,FALSE)</f>
        <v>4.500000000000004E-2</v>
      </c>
      <c r="FI149" s="5">
        <f>HLOOKUP(FI$1,'Main calculations'!$EY$5:$IW$40,29,FALSE)</f>
        <v>1.6442307692307701E-2</v>
      </c>
      <c r="FJ149" s="5">
        <f>HLOOKUP(FJ$1,'Main calculations'!$EY$5:$IW$40,29,FALSE)</f>
        <v>5.2499999999999769E-3</v>
      </c>
      <c r="FK149" s="108">
        <f>HLOOKUP(FK$1,'Main calculations'!$EY$5:$IW$40,29,FALSE)</f>
        <v>2.2079999999999989E-2</v>
      </c>
    </row>
    <row r="150" spans="154:167">
      <c r="EX150" s="89">
        <v>2044</v>
      </c>
      <c r="EY150" s="5">
        <f t="shared" si="238"/>
        <v>1.03</v>
      </c>
      <c r="EZ150" s="5">
        <f>HLOOKUP(EZ$1,'Main calculations'!$EY$5:$IW$40,30,FALSE)</f>
        <v>0</v>
      </c>
      <c r="FA150" s="5">
        <f>HLOOKUP(FA$1,'Main calculations'!$EY$5:$IW$40,30,FALSE)</f>
        <v>0.3649060931818866</v>
      </c>
      <c r="FB150" s="5">
        <f>HLOOKUP(FB$1,'Main calculations'!$EY$5:$IW$40,30,FALSE)</f>
        <v>0.05</v>
      </c>
      <c r="FC150" s="5">
        <f>HLOOKUP(FC$1,'Main calculations'!$EY$5:$IW$40,30,FALSE)</f>
        <v>0.22001370657391314</v>
      </c>
      <c r="FD150" s="5">
        <f>HLOOKUP(FD$1,'Main calculations'!$EY$5:$IW$40,30,FALSE)</f>
        <v>3.1018222222222249E-2</v>
      </c>
      <c r="FE150" s="5">
        <f>HLOOKUP(FE$1,'Main calculations'!$EY$5:$IW$40,30,FALSE)</f>
        <v>0.19620437956204384</v>
      </c>
      <c r="FF150" s="5">
        <f>HLOOKUP(FF$1,'Main calculations'!$EY$5:$IW$40,30,FALSE)</f>
        <v>8.3503649635036536E-2</v>
      </c>
      <c r="FG150" s="5">
        <f>HLOOKUP(FG$1,'Main calculations'!$EY$5:$IW$40,30,FALSE)</f>
        <v>4.0291970802919685E-2</v>
      </c>
      <c r="FH150" s="5">
        <f>HLOOKUP(FH$1,'Main calculations'!$EY$5:$IW$40,30,FALSE)</f>
        <v>4.8214285714285765E-2</v>
      </c>
      <c r="FI150" s="5">
        <f>HLOOKUP(FI$1,'Main calculations'!$EY$5:$IW$40,30,FALSE)</f>
        <v>1.7307692307692357E-2</v>
      </c>
      <c r="FJ150" s="5">
        <f>HLOOKUP(FJ$1,'Main calculations'!$EY$5:$IW$40,30,FALSE)</f>
        <v>5.4999999999999494E-3</v>
      </c>
      <c r="FK150" s="108">
        <f>HLOOKUP(FK$1,'Main calculations'!$EY$5:$IW$40,30,FALSE)</f>
        <v>2.3039999999999949E-2</v>
      </c>
    </row>
    <row r="151" spans="154:167">
      <c r="EX151" s="89">
        <v>2045</v>
      </c>
      <c r="EY151" s="5">
        <f t="shared" si="238"/>
        <v>1.0333333333333332</v>
      </c>
      <c r="EZ151" s="5">
        <f>HLOOKUP(EZ$1,'Main calculations'!$EY$5:$IW$40,31,FALSE)</f>
        <v>0</v>
      </c>
      <c r="FA151" s="5">
        <f>HLOOKUP(FA$1,'Main calculations'!$EY$5:$IW$40,31,FALSE)</f>
        <v>0.33790847787057354</v>
      </c>
      <c r="FB151" s="5">
        <f>HLOOKUP(FB$1,'Main calculations'!$EY$5:$IW$40,31,FALSE)</f>
        <v>0.05</v>
      </c>
      <c r="FC151" s="5">
        <f>HLOOKUP(FC$1,'Main calculations'!$EY$5:$IW$40,31,FALSE)</f>
        <v>0.2341680960000001</v>
      </c>
      <c r="FD151" s="5">
        <f>HLOOKUP(FD$1,'Main calculations'!$EY$5:$IW$40,31,FALSE)</f>
        <v>2.8571777777777814E-2</v>
      </c>
      <c r="FE151" s="5">
        <f>HLOOKUP(FE$1,'Main calculations'!$EY$5:$IW$40,31,FALSE)</f>
        <v>0.2043795620437957</v>
      </c>
      <c r="FF151" s="5">
        <f>HLOOKUP(FF$1,'Main calculations'!$EY$5:$IW$40,31,FALSE)</f>
        <v>8.6982968369829772E-2</v>
      </c>
      <c r="FG151" s="5">
        <f>HLOOKUP(FG$1,'Main calculations'!$EY$5:$IW$40,31,FALSE)</f>
        <v>4.1970802919708006E-2</v>
      </c>
      <c r="FH151" s="5">
        <f>HLOOKUP(FH$1,'Main calculations'!$EY$5:$IW$40,31,FALSE)</f>
        <v>5.1428571428571379E-2</v>
      </c>
      <c r="FI151" s="5">
        <f>HLOOKUP(FI$1,'Main calculations'!$EY$5:$IW$40,31,FALSE)</f>
        <v>1.8173076923076903E-2</v>
      </c>
      <c r="FJ151" s="5">
        <f>HLOOKUP(FJ$1,'Main calculations'!$EY$5:$IW$40,31,FALSE)</f>
        <v>5.7500000000000329E-3</v>
      </c>
      <c r="FK151" s="108">
        <f>HLOOKUP(FK$1,'Main calculations'!$EY$5:$IW$40,31,FALSE)</f>
        <v>2.4000000000000021E-2</v>
      </c>
    </row>
    <row r="152" spans="154:167">
      <c r="EX152" s="89">
        <v>2046</v>
      </c>
      <c r="EY152" s="5">
        <f t="shared" si="238"/>
        <v>1.0366666666666666</v>
      </c>
      <c r="EZ152" s="5">
        <f>HLOOKUP(EZ$1,'Main calculations'!$EY$5:$IW$40,32,FALSE)</f>
        <v>0</v>
      </c>
      <c r="FA152" s="5">
        <f>HLOOKUP(FA$1,'Main calculations'!$EY$5:$IW$40,32,FALSE)</f>
        <v>0.31054966548099994</v>
      </c>
      <c r="FB152" s="5">
        <f>HLOOKUP(FB$1,'Main calculations'!$EY$5:$IW$40,32,FALSE)</f>
        <v>0.05</v>
      </c>
      <c r="FC152" s="5">
        <f>HLOOKUP(FC$1,'Main calculations'!$EY$5:$IW$40,32,FALSE)</f>
        <v>0.24868368250434791</v>
      </c>
      <c r="FD152" s="5">
        <f>HLOOKUP(FD$1,'Main calculations'!$EY$5:$IW$40,32,FALSE)</f>
        <v>2.6125333333333351E-2</v>
      </c>
      <c r="FE152" s="5">
        <f>HLOOKUP(FE$1,'Main calculations'!$EY$5:$IW$40,32,FALSE)</f>
        <v>0.21255474452554757</v>
      </c>
      <c r="FF152" s="5">
        <f>HLOOKUP(FF$1,'Main calculations'!$EY$5:$IW$40,32,FALSE)</f>
        <v>9.0462287104622896E-2</v>
      </c>
      <c r="FG152" s="5">
        <f>HLOOKUP(FG$1,'Main calculations'!$EY$5:$IW$40,32,FALSE)</f>
        <v>4.3649635036496326E-2</v>
      </c>
      <c r="FH152" s="5">
        <f>HLOOKUP(FH$1,'Main calculations'!$EY$5:$IW$40,32,FALSE)</f>
        <v>5.4642857142857104E-2</v>
      </c>
      <c r="FI152" s="5">
        <f>HLOOKUP(FI$1,'Main calculations'!$EY$5:$IW$40,32,FALSE)</f>
        <v>1.903846153846156E-2</v>
      </c>
      <c r="FJ152" s="5">
        <f>HLOOKUP(FJ$1,'Main calculations'!$EY$5:$IW$40,32,FALSE)</f>
        <v>6.0000000000000053E-3</v>
      </c>
      <c r="FK152" s="108">
        <f>HLOOKUP(FK$1,'Main calculations'!$EY$5:$IW$40,32,FALSE)</f>
        <v>2.4959999999999982E-2</v>
      </c>
    </row>
    <row r="153" spans="154:167">
      <c r="EX153" s="89">
        <v>2047</v>
      </c>
      <c r="EY153" s="5">
        <f t="shared" si="238"/>
        <v>1.04</v>
      </c>
      <c r="EZ153" s="5">
        <f>HLOOKUP(EZ$1,'Main calculations'!$EY$5:$IW$40,33,FALSE)</f>
        <v>0</v>
      </c>
      <c r="FA153" s="5">
        <f>HLOOKUP(FA$1,'Main calculations'!$EY$5:$IW$40,33,FALSE)</f>
        <v>0.28282965601316545</v>
      </c>
      <c r="FB153" s="5">
        <f>HLOOKUP(FB$1,'Main calculations'!$EY$5:$IW$40,33,FALSE)</f>
        <v>0.05</v>
      </c>
      <c r="FC153" s="5">
        <f>HLOOKUP(FC$1,'Main calculations'!$EY$5:$IW$40,33,FALSE)</f>
        <v>0.2635604660869566</v>
      </c>
      <c r="FD153" s="5">
        <f>HLOOKUP(FD$1,'Main calculations'!$EY$5:$IW$40,33,FALSE)</f>
        <v>2.367888888888893E-2</v>
      </c>
      <c r="FE153" s="5">
        <f>HLOOKUP(FE$1,'Main calculations'!$EY$5:$IW$40,33,FALSE)</f>
        <v>0.22072992700729938</v>
      </c>
      <c r="FF153" s="5">
        <f>HLOOKUP(FF$1,'Main calculations'!$EY$5:$IW$40,33,FALSE)</f>
        <v>9.3941605839416131E-2</v>
      </c>
      <c r="FG153" s="5">
        <f>HLOOKUP(FG$1,'Main calculations'!$EY$5:$IW$40,33,FALSE)</f>
        <v>4.5328467153284646E-2</v>
      </c>
      <c r="FH153" s="5">
        <f>HLOOKUP(FH$1,'Main calculations'!$EY$5:$IW$40,33,FALSE)</f>
        <v>5.7857142857142829E-2</v>
      </c>
      <c r="FI153" s="5">
        <f>HLOOKUP(FI$1,'Main calculations'!$EY$5:$IW$40,33,FALSE)</f>
        <v>1.9903846153846105E-2</v>
      </c>
      <c r="FJ153" s="5">
        <f>HLOOKUP(FJ$1,'Main calculations'!$EY$5:$IW$40,33,FALSE)</f>
        <v>6.2499999999999778E-3</v>
      </c>
      <c r="FK153" s="108">
        <f>HLOOKUP(FK$1,'Main calculations'!$EY$5:$IW$40,33,FALSE)</f>
        <v>2.5919999999999943E-2</v>
      </c>
    </row>
    <row r="154" spans="154:167">
      <c r="EX154" s="89">
        <v>2048</v>
      </c>
      <c r="EY154" s="5">
        <f t="shared" si="238"/>
        <v>1.0433333333333332</v>
      </c>
      <c r="EZ154" s="5">
        <f>HLOOKUP(EZ$1,'Main calculations'!$EY$5:$IW$40,34,FALSE)</f>
        <v>0</v>
      </c>
      <c r="FA154" s="5">
        <f>HLOOKUP(FA$1,'Main calculations'!$EY$5:$IW$40,34,FALSE)</f>
        <v>0.25474844946706987</v>
      </c>
      <c r="FB154" s="5">
        <f>HLOOKUP(FB$1,'Main calculations'!$EY$5:$IW$40,34,FALSE)</f>
        <v>0.05</v>
      </c>
      <c r="FC154" s="5">
        <f>HLOOKUP(FC$1,'Main calculations'!$EY$5:$IW$40,34,FALSE)</f>
        <v>0.27879844674782617</v>
      </c>
      <c r="FD154" s="5">
        <f>HLOOKUP(FD$1,'Main calculations'!$EY$5:$IW$40,34,FALSE)</f>
        <v>2.1232444444444481E-2</v>
      </c>
      <c r="FE154" s="5">
        <f>HLOOKUP(FE$1,'Main calculations'!$EY$5:$IW$40,34,FALSE)</f>
        <v>0.22890510948905118</v>
      </c>
      <c r="FF154" s="5">
        <f>HLOOKUP(FF$1,'Main calculations'!$EY$5:$IW$40,34,FALSE)</f>
        <v>9.7420924574209256E-2</v>
      </c>
      <c r="FG154" s="5">
        <f>HLOOKUP(FG$1,'Main calculations'!$EY$5:$IW$40,34,FALSE)</f>
        <v>4.7007299270072966E-2</v>
      </c>
      <c r="FH154" s="5">
        <f>HLOOKUP(FH$1,'Main calculations'!$EY$5:$IW$40,34,FALSE)</f>
        <v>6.1071428571428554E-2</v>
      </c>
      <c r="FI154" s="5">
        <f>HLOOKUP(FI$1,'Main calculations'!$EY$5:$IW$40,34,FALSE)</f>
        <v>2.0769230769230762E-2</v>
      </c>
      <c r="FJ154" s="5">
        <f>HLOOKUP(FJ$1,'Main calculations'!$EY$5:$IW$40,34,FALSE)</f>
        <v>6.4999999999999503E-3</v>
      </c>
      <c r="FK154" s="108">
        <f>HLOOKUP(FK$1,'Main calculations'!$EY$5:$IW$40,34,FALSE)</f>
        <v>2.6880000000000015E-2</v>
      </c>
    </row>
    <row r="155" spans="154:167">
      <c r="EX155" s="89">
        <v>2049</v>
      </c>
      <c r="EY155" s="5">
        <f t="shared" si="238"/>
        <v>1.0466666666666666</v>
      </c>
      <c r="EZ155" s="5">
        <f>HLOOKUP(EZ$1,'Main calculations'!$EY$5:$IW$40,35,FALSE)</f>
        <v>0</v>
      </c>
      <c r="FA155" s="5">
        <f>HLOOKUP(FA$1,'Main calculations'!$EY$5:$IW$40,35,FALSE)</f>
        <v>0.22630604584271341</v>
      </c>
      <c r="FB155" s="5">
        <f>HLOOKUP(FB$1,'Main calculations'!$EY$5:$IW$40,35,FALSE)</f>
        <v>0.05</v>
      </c>
      <c r="FC155" s="5">
        <f>HLOOKUP(FC$1,'Main calculations'!$EY$5:$IW$40,35,FALSE)</f>
        <v>0.29439762448695667</v>
      </c>
      <c r="FD155" s="5">
        <f>HLOOKUP(FD$1,'Main calculations'!$EY$5:$IW$40,35,FALSE)</f>
        <v>1.8786000000000046E-2</v>
      </c>
      <c r="FE155" s="5">
        <f>HLOOKUP(FE$1,'Main calculations'!$EY$5:$IW$40,35,FALSE)</f>
        <v>0.23708029197080305</v>
      </c>
      <c r="FF155" s="5">
        <f>HLOOKUP(FF$1,'Main calculations'!$EY$5:$IW$40,35,FALSE)</f>
        <v>0.10090024330900249</v>
      </c>
      <c r="FG155" s="5">
        <f>HLOOKUP(FG$1,'Main calculations'!$EY$5:$IW$40,35,FALSE)</f>
        <v>4.8686131386861287E-2</v>
      </c>
      <c r="FH155" s="5">
        <f>HLOOKUP(FH$1,'Main calculations'!$EY$5:$IW$40,35,FALSE)</f>
        <v>6.4285714285714279E-2</v>
      </c>
      <c r="FI155" s="5">
        <f>HLOOKUP(FI$1,'Main calculations'!$EY$5:$IW$40,35,FALSE)</f>
        <v>2.1634615384615419E-2</v>
      </c>
      <c r="FJ155" s="5">
        <f>HLOOKUP(FJ$1,'Main calculations'!$EY$5:$IW$40,35,FALSE)</f>
        <v>6.7500000000000338E-3</v>
      </c>
      <c r="FK155" s="108">
        <f>HLOOKUP(FK$1,'Main calculations'!$EY$5:$IW$40,35,FALSE)</f>
        <v>2.7839999999999976E-2</v>
      </c>
    </row>
    <row r="156" spans="154:167" ht="15" thickBot="1">
      <c r="EX156" s="86">
        <v>2050</v>
      </c>
      <c r="EY156" s="111">
        <f t="shared" si="238"/>
        <v>1.05</v>
      </c>
      <c r="EZ156" s="111">
        <f>HLOOKUP(EZ$1,'Main calculations'!$EY$5:$IW$40,36,FALSE)</f>
        <v>0</v>
      </c>
      <c r="FA156" s="111">
        <f>HLOOKUP(FA$1,'Main calculations'!$EY$5:$IW$40,36,FALSE)</f>
        <v>0.19750244514009641</v>
      </c>
      <c r="FB156" s="111">
        <f>HLOOKUP(FB$1,'Main calculations'!$EY$5:$IW$40,36,FALSE)</f>
        <v>0.05</v>
      </c>
      <c r="FC156" s="111">
        <f>HLOOKUP(FC$1,'Main calculations'!$EY$5:$IW$40,36,FALSE)</f>
        <v>0.31035799930434793</v>
      </c>
      <c r="FD156" s="111">
        <f>HLOOKUP(FD$1,'Main calculations'!$EY$5:$IW$40,36,FALSE)</f>
        <v>1.6339555555555583E-2</v>
      </c>
      <c r="FE156" s="111">
        <f>HLOOKUP(FE$1,'Main calculations'!$EY$5:$IW$40,36,FALSE)</f>
        <v>0.24525547445255491</v>
      </c>
      <c r="FF156" s="111">
        <f>HLOOKUP(FF$1,'Main calculations'!$EY$5:$IW$40,36,FALSE)</f>
        <v>0.10437956204379573</v>
      </c>
      <c r="FG156" s="111">
        <f>HLOOKUP(FG$1,'Main calculations'!$EY$5:$IW$40,36,FALSE)</f>
        <v>5.0364963503649607E-2</v>
      </c>
      <c r="FH156" s="111">
        <f>HLOOKUP(FH$1,'Main calculations'!$EY$5:$IW$40,36,FALSE)</f>
        <v>6.7500000000000004E-2</v>
      </c>
      <c r="FI156" s="111">
        <f>HLOOKUP(FI$1,'Main calculations'!$EY$5:$IW$40,36,FALSE)</f>
        <v>2.2499999999999964E-2</v>
      </c>
      <c r="FJ156" s="111">
        <f>HLOOKUP(FJ$1,'Main calculations'!$EY$5:$IW$40,36,FALSE)</f>
        <v>7.0000000000000062E-3</v>
      </c>
      <c r="FK156" s="112">
        <f>HLOOKUP(FK$1,'Main calculations'!$EY$5:$IW$40,36,FALSE)</f>
        <v>2.8799999999999937E-2</v>
      </c>
    </row>
    <row r="1048576" spans="258:258">
      <c r="IX1048576" s="3"/>
    </row>
  </sheetData>
  <mergeCells count="77">
    <mergeCell ref="EX3:FK4"/>
    <mergeCell ref="BO2:BO3"/>
    <mergeCell ref="IY6:JS6"/>
    <mergeCell ref="FM3:FZ4"/>
    <mergeCell ref="GB3:GO4"/>
    <mergeCell ref="GQ3:HD4"/>
    <mergeCell ref="HF3:HS4"/>
    <mergeCell ref="HU3:IH4"/>
    <mergeCell ref="IJ3:IW4"/>
    <mergeCell ref="BY2:BY3"/>
    <mergeCell ref="BK2:BK3"/>
    <mergeCell ref="BM2:BM3"/>
    <mergeCell ref="BQ2:BQ3"/>
    <mergeCell ref="BN2:BN3"/>
    <mergeCell ref="A104:G104"/>
    <mergeCell ref="A43:F43"/>
    <mergeCell ref="A46:F46"/>
    <mergeCell ref="A18:F18"/>
    <mergeCell ref="A21:F21"/>
    <mergeCell ref="A24:F24"/>
    <mergeCell ref="A29:F29"/>
    <mergeCell ref="H36:J36"/>
    <mergeCell ref="H28:J28"/>
    <mergeCell ref="H29:J29"/>
    <mergeCell ref="A109:G109"/>
    <mergeCell ref="L1:AL1"/>
    <mergeCell ref="AO1:BW1"/>
    <mergeCell ref="CB6:CJ9"/>
    <mergeCell ref="BU2:BU3"/>
    <mergeCell ref="BV2:BV3"/>
    <mergeCell ref="BF2:BF3"/>
    <mergeCell ref="BG2:BG3"/>
    <mergeCell ref="BI2:BI3"/>
    <mergeCell ref="BJ2:BJ3"/>
    <mergeCell ref="O2:R2"/>
    <mergeCell ref="BC2:BC3"/>
    <mergeCell ref="BE2:BE3"/>
    <mergeCell ref="H56:J56"/>
    <mergeCell ref="H66:J66"/>
    <mergeCell ref="A91:G91"/>
    <mergeCell ref="A114:G114"/>
    <mergeCell ref="A39:F39"/>
    <mergeCell ref="G35:J35"/>
    <mergeCell ref="M35:Q35"/>
    <mergeCell ref="O36:Q36"/>
    <mergeCell ref="O46:Q46"/>
    <mergeCell ref="O56:Q56"/>
    <mergeCell ref="O66:Q66"/>
    <mergeCell ref="H46:J46"/>
    <mergeCell ref="A49:F49"/>
    <mergeCell ref="A52:F52"/>
    <mergeCell ref="A37:F37"/>
    <mergeCell ref="A99:G99"/>
    <mergeCell ref="A76:G76"/>
    <mergeCell ref="A81:G81"/>
    <mergeCell ref="A86:G86"/>
    <mergeCell ref="JA7:JA9"/>
    <mergeCell ref="JC7:JC9"/>
    <mergeCell ref="CL9:CQ9"/>
    <mergeCell ref="CR9:CT9"/>
    <mergeCell ref="CU9:DG9"/>
    <mergeCell ref="JD7:JE9"/>
    <mergeCell ref="A15:F15"/>
    <mergeCell ref="A2:F2"/>
    <mergeCell ref="S2:V2"/>
    <mergeCell ref="A5:F5"/>
    <mergeCell ref="A14:F14"/>
    <mergeCell ref="A7:F7"/>
    <mergeCell ref="AO2:AS2"/>
    <mergeCell ref="AT2:AW2"/>
    <mergeCell ref="BR2:BR3"/>
    <mergeCell ref="BS2:BS3"/>
    <mergeCell ref="BA2:BA3"/>
    <mergeCell ref="BB2:BB3"/>
    <mergeCell ref="H14:J14"/>
    <mergeCell ref="BW2:BW3"/>
    <mergeCell ref="BX2:BX3"/>
  </mergeCells>
  <pageMargins left="0.7" right="0.7" top="0.75" bottom="0.75" header="0.3" footer="0.3"/>
  <pageSetup paperSize="9" orientation="portrait" horizontalDpi="4294967293" verticalDpi="0" r:id="rId1"/>
  <ignoredErrors>
    <ignoredError sqref="BA6 BE6 BI6 BM6 BQ6 BU6 BA9 BE9 BI9 BM9 BQ9 BU9" formula="1"/>
    <ignoredError sqref="FA10 FP10 GE10 GT10 HI10 HX10 IM10"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1"/>
  <dimension ref="A1:JW1048576"/>
  <sheetViews>
    <sheetView zoomScale="10" zoomScaleNormal="10" workbookViewId="0">
      <selection activeCell="JB11" sqref="JB11"/>
    </sheetView>
  </sheetViews>
  <sheetFormatPr defaultRowHeight="14.5"/>
  <cols>
    <col min="6" max="6" width="10.453125" customWidth="1"/>
    <col min="7" max="7" width="10.7265625" customWidth="1"/>
    <col min="8" max="8" width="10.81640625" bestFit="1" customWidth="1"/>
    <col min="10" max="10" width="12.36328125" customWidth="1"/>
    <col min="12" max="14" width="9.7265625" customWidth="1"/>
    <col min="15" max="15" width="9.36328125" customWidth="1"/>
    <col min="16" max="16" width="11.1796875" customWidth="1"/>
    <col min="20" max="20" width="10.26953125" customWidth="1"/>
    <col min="24" max="24" width="11.1796875" customWidth="1"/>
    <col min="25" max="25" width="10.6328125" customWidth="1"/>
    <col min="26" max="26" width="8.7265625" customWidth="1"/>
    <col min="37" max="37" width="9.54296875" customWidth="1"/>
    <col min="39" max="39" width="24" bestFit="1" customWidth="1"/>
    <col min="41" max="41" width="14.26953125" customWidth="1"/>
    <col min="47" max="47" width="11.453125" customWidth="1"/>
    <col min="52" max="52" width="8.7265625" customWidth="1"/>
    <col min="53" max="53" width="9.36328125" customWidth="1"/>
    <col min="54" max="55" width="8.36328125" customWidth="1"/>
    <col min="78" max="78" width="11.453125" customWidth="1"/>
    <col min="79" max="79" width="16.453125" customWidth="1"/>
    <col min="80" max="86" width="12.6328125" customWidth="1"/>
    <col min="88" max="88" width="17.81640625" customWidth="1"/>
    <col min="101" max="101" width="9" customWidth="1"/>
    <col min="110" max="110" width="10" customWidth="1"/>
    <col min="133" max="140" width="10.90625" customWidth="1"/>
    <col min="151" max="151" width="17.81640625" customWidth="1"/>
    <col min="152" max="153" width="28.7265625" customWidth="1"/>
    <col min="154" max="156" width="11.26953125" customWidth="1"/>
    <col min="157" max="158" width="11.7265625" customWidth="1"/>
    <col min="168" max="168" width="20.26953125" customWidth="1"/>
    <col min="169" max="171" width="8.7265625" customWidth="1"/>
    <col min="183" max="183" width="20.26953125" customWidth="1"/>
    <col min="195" max="195" width="8.7265625" customWidth="1"/>
    <col min="198" max="198" width="20.26953125" customWidth="1"/>
    <col min="199" max="200" width="10.26953125" customWidth="1"/>
    <col min="213" max="213" width="20.26953125" customWidth="1"/>
    <col min="217" max="217" width="10.90625" customWidth="1"/>
    <col min="228" max="228" width="20.26953125" customWidth="1"/>
    <col min="232" max="232" width="10.7265625" customWidth="1"/>
    <col min="243" max="243" width="20.26953125" customWidth="1"/>
    <col min="259" max="259" width="20.26953125" customWidth="1"/>
    <col min="261" max="261" width="10.54296875" customWidth="1"/>
    <col min="262" max="263" width="10.26953125" customWidth="1"/>
    <col min="264" max="264" width="9.7265625" customWidth="1"/>
    <col min="265" max="265" width="12.7265625" customWidth="1"/>
    <col min="266" max="266" width="9.6328125" customWidth="1"/>
    <col min="269" max="269" width="9" customWidth="1"/>
  </cols>
  <sheetData>
    <row r="1" spans="1:281" ht="15" thickBot="1">
      <c r="A1" s="246" t="s">
        <v>160</v>
      </c>
      <c r="B1" s="247"/>
      <c r="C1" s="247"/>
      <c r="D1" s="247"/>
      <c r="E1" s="247"/>
      <c r="F1" s="247"/>
      <c r="H1" s="309" t="s">
        <v>146</v>
      </c>
      <c r="I1" s="310" t="s">
        <v>147</v>
      </c>
      <c r="J1" s="311" t="s">
        <v>148</v>
      </c>
      <c r="L1" s="713" t="s">
        <v>229</v>
      </c>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O1" s="714" t="s">
        <v>230</v>
      </c>
      <c r="AP1" s="715"/>
      <c r="AQ1" s="715"/>
      <c r="AR1" s="715"/>
      <c r="AS1" s="715"/>
      <c r="AT1" s="715"/>
      <c r="AU1" s="715"/>
      <c r="AV1" s="715"/>
      <c r="AW1" s="715"/>
      <c r="AX1" s="715"/>
      <c r="AY1" s="715"/>
      <c r="AZ1" s="715"/>
      <c r="BA1" s="715"/>
      <c r="BB1" s="715"/>
      <c r="BC1" s="715"/>
      <c r="BD1" s="715"/>
      <c r="BE1" s="715"/>
      <c r="BF1" s="715"/>
      <c r="BG1" s="715"/>
      <c r="BH1" s="715"/>
      <c r="BI1" s="715"/>
      <c r="BJ1" s="715"/>
      <c r="BK1" s="715"/>
      <c r="BL1" s="715"/>
      <c r="BM1" s="715"/>
      <c r="BN1" s="715"/>
      <c r="BO1" s="715"/>
      <c r="BP1" s="715"/>
      <c r="BQ1" s="715"/>
      <c r="BR1" s="715"/>
      <c r="BS1" s="715"/>
      <c r="BT1" s="715"/>
      <c r="BU1" s="715"/>
      <c r="BV1" s="715"/>
      <c r="BW1" s="716"/>
      <c r="BX1" s="387">
        <f>A35</f>
        <v>0.8</v>
      </c>
      <c r="BY1" s="387">
        <f>A35</f>
        <v>0.8</v>
      </c>
      <c r="BZ1" s="2"/>
      <c r="EY1" s="72" t="str">
        <f>TEXT('1 StrategyMix for CarbonTargets'!V46,"0%")</f>
        <v>80%</v>
      </c>
      <c r="EZ1" s="371">
        <f t="shared" ref="EZ1:FK1" si="0">EY1+0.0001</f>
        <v>0.80010000000000003</v>
      </c>
      <c r="FA1" s="371">
        <f t="shared" si="0"/>
        <v>0.80020000000000002</v>
      </c>
      <c r="FB1" s="371">
        <f t="shared" si="0"/>
        <v>0.80030000000000001</v>
      </c>
      <c r="FC1" s="371">
        <f t="shared" si="0"/>
        <v>0.8004</v>
      </c>
      <c r="FD1" s="371">
        <f t="shared" si="0"/>
        <v>0.80049999999999999</v>
      </c>
      <c r="FE1" s="371">
        <f t="shared" si="0"/>
        <v>0.80059999999999998</v>
      </c>
      <c r="FF1" s="371">
        <f t="shared" si="0"/>
        <v>0.80069999999999997</v>
      </c>
      <c r="FG1" s="371">
        <f t="shared" si="0"/>
        <v>0.80079999999999996</v>
      </c>
      <c r="FH1" s="371">
        <f t="shared" si="0"/>
        <v>0.80089999999999995</v>
      </c>
      <c r="FI1" s="371">
        <f t="shared" si="0"/>
        <v>0.80099999999999993</v>
      </c>
      <c r="FJ1" s="371">
        <f t="shared" si="0"/>
        <v>0.80109999999999992</v>
      </c>
      <c r="FK1" s="371">
        <f t="shared" si="0"/>
        <v>0.80119999999999991</v>
      </c>
      <c r="FN1" s="72"/>
      <c r="FO1" s="370"/>
      <c r="FP1" s="370"/>
      <c r="FQ1" s="370"/>
      <c r="FR1" s="370"/>
      <c r="FS1" s="370"/>
      <c r="FT1" s="370"/>
      <c r="FU1" s="370"/>
      <c r="FV1" s="370"/>
      <c r="FW1" s="370"/>
      <c r="FX1" s="370"/>
      <c r="FY1" s="370"/>
      <c r="FZ1" s="370"/>
    </row>
    <row r="2" spans="1:281" ht="28" customHeight="1" thickBot="1">
      <c r="A2" s="690" t="s">
        <v>100</v>
      </c>
      <c r="B2" s="690"/>
      <c r="C2" s="690"/>
      <c r="D2" s="690"/>
      <c r="E2" s="690"/>
      <c r="F2" s="690"/>
      <c r="H2" s="300" t="s">
        <v>228</v>
      </c>
      <c r="J2" s="301"/>
      <c r="L2" s="256" t="s">
        <v>117</v>
      </c>
      <c r="M2" s="398"/>
      <c r="N2" s="271"/>
      <c r="O2" s="695" t="s">
        <v>120</v>
      </c>
      <c r="P2" s="695"/>
      <c r="Q2" s="695"/>
      <c r="R2" s="695"/>
      <c r="S2" s="691" t="s">
        <v>121</v>
      </c>
      <c r="T2" s="691"/>
      <c r="U2" s="691"/>
      <c r="V2" s="691"/>
      <c r="W2" s="255"/>
      <c r="X2" s="395"/>
      <c r="Y2" s="395"/>
      <c r="Z2" s="245" t="s">
        <v>159</v>
      </c>
      <c r="AA2" s="245"/>
      <c r="AB2" s="245"/>
      <c r="AC2" s="245"/>
      <c r="AD2" s="245"/>
      <c r="AE2" s="245"/>
      <c r="AF2" s="245"/>
      <c r="AG2" s="245"/>
      <c r="AH2" s="245"/>
      <c r="AI2" s="245"/>
      <c r="AJ2" s="245"/>
      <c r="AK2" s="245"/>
      <c r="AL2" s="245"/>
      <c r="AO2" s="694" t="s">
        <v>120</v>
      </c>
      <c r="AP2" s="695"/>
      <c r="AQ2" s="695"/>
      <c r="AR2" s="695"/>
      <c r="AS2" s="695"/>
      <c r="AT2" s="691" t="s">
        <v>121</v>
      </c>
      <c r="AU2" s="691"/>
      <c r="AV2" s="691"/>
      <c r="AW2" s="691"/>
      <c r="AX2" s="255"/>
      <c r="AY2" s="245" t="s">
        <v>159</v>
      </c>
      <c r="AZ2" s="245"/>
      <c r="BA2" s="700" t="s">
        <v>181</v>
      </c>
      <c r="BB2" s="696" t="s">
        <v>182</v>
      </c>
      <c r="BC2" s="698" t="s">
        <v>183</v>
      </c>
      <c r="BD2" s="245"/>
      <c r="BE2" s="700" t="s">
        <v>184</v>
      </c>
      <c r="BF2" s="696" t="s">
        <v>185</v>
      </c>
      <c r="BG2" s="698" t="s">
        <v>186</v>
      </c>
      <c r="BH2" s="245"/>
      <c r="BI2" s="700" t="s">
        <v>187</v>
      </c>
      <c r="BJ2" s="696" t="s">
        <v>188</v>
      </c>
      <c r="BK2" s="698" t="s">
        <v>189</v>
      </c>
      <c r="BL2" s="245"/>
      <c r="BM2" s="700" t="s">
        <v>190</v>
      </c>
      <c r="BN2" s="696" t="s">
        <v>191</v>
      </c>
      <c r="BO2" s="698" t="s">
        <v>192</v>
      </c>
      <c r="BP2" s="245"/>
      <c r="BQ2" s="700" t="s">
        <v>193</v>
      </c>
      <c r="BR2" s="696" t="s">
        <v>194</v>
      </c>
      <c r="BS2" s="698" t="s">
        <v>195</v>
      </c>
      <c r="BT2" s="245"/>
      <c r="BU2" s="700" t="s">
        <v>196</v>
      </c>
      <c r="BV2" s="696" t="s">
        <v>197</v>
      </c>
      <c r="BW2" s="698" t="s">
        <v>198</v>
      </c>
      <c r="BX2" s="705" t="s">
        <v>294</v>
      </c>
      <c r="BY2" s="732" t="s">
        <v>293</v>
      </c>
      <c r="BZ2" s="289"/>
      <c r="EX2" s="3"/>
      <c r="EY2" s="3"/>
      <c r="EZ2" s="3"/>
      <c r="FA2" s="3"/>
      <c r="FB2" s="3"/>
      <c r="FC2" s="3"/>
      <c r="FD2" s="3"/>
      <c r="FE2" s="3"/>
      <c r="FF2" s="3"/>
      <c r="FG2" s="3"/>
      <c r="FH2" s="3"/>
      <c r="FI2" s="3"/>
      <c r="FJ2" s="3"/>
      <c r="FK2" s="3"/>
      <c r="FM2" s="3"/>
      <c r="FN2" s="3"/>
      <c r="FO2" s="3"/>
      <c r="FP2" s="3"/>
      <c r="FQ2" s="3"/>
      <c r="FR2" s="3"/>
      <c r="FS2" s="3"/>
      <c r="FT2" s="3"/>
      <c r="FU2" s="3"/>
      <c r="FV2" s="3"/>
      <c r="FW2" s="3"/>
      <c r="FX2" s="3"/>
      <c r="FY2" s="3"/>
      <c r="FZ2" s="3"/>
      <c r="GB2" s="3">
        <v>0.6</v>
      </c>
      <c r="GQ2" s="3">
        <v>0.4</v>
      </c>
      <c r="HF2" s="3">
        <v>0.2</v>
      </c>
      <c r="HU2" s="3">
        <v>0.1</v>
      </c>
      <c r="IJ2" s="3">
        <v>0</v>
      </c>
    </row>
    <row r="3" spans="1:281" ht="56" customHeight="1">
      <c r="A3" s="262">
        <f>'1 StrategyMix for CarbonTargets'!V6</f>
        <v>-0.05</v>
      </c>
      <c r="B3" s="247"/>
      <c r="C3" s="247"/>
      <c r="D3" s="247"/>
      <c r="E3" s="293"/>
      <c r="F3" s="293"/>
      <c r="G3" s="293"/>
      <c r="H3" s="312">
        <f>-A3</f>
        <v>0.05</v>
      </c>
      <c r="I3" s="313">
        <f>-A3</f>
        <v>0.05</v>
      </c>
      <c r="J3" s="314">
        <f>-A3</f>
        <v>0.05</v>
      </c>
      <c r="K3" s="3"/>
      <c r="L3" s="257" t="s">
        <v>299</v>
      </c>
      <c r="M3" s="399" t="s">
        <v>298</v>
      </c>
      <c r="N3" s="401"/>
      <c r="O3" s="253" t="s">
        <v>129</v>
      </c>
      <c r="P3" s="253" t="s">
        <v>127</v>
      </c>
      <c r="Q3" s="253" t="s">
        <v>118</v>
      </c>
      <c r="R3" s="253" t="s">
        <v>119</v>
      </c>
      <c r="S3" s="251"/>
      <c r="T3" s="251" t="s">
        <v>253</v>
      </c>
      <c r="U3" s="251" t="s">
        <v>254</v>
      </c>
      <c r="V3" s="251" t="s">
        <v>255</v>
      </c>
      <c r="W3" s="251"/>
      <c r="X3" s="249" t="s">
        <v>295</v>
      </c>
      <c r="Y3" s="249" t="s">
        <v>296</v>
      </c>
      <c r="Z3" s="249" t="s">
        <v>139</v>
      </c>
      <c r="AA3" s="249" t="s">
        <v>138</v>
      </c>
      <c r="AB3" s="249" t="s">
        <v>124</v>
      </c>
      <c r="AC3" s="249" t="s">
        <v>133</v>
      </c>
      <c r="AD3" s="249" t="s">
        <v>125</v>
      </c>
      <c r="AE3" s="249" t="s">
        <v>134</v>
      </c>
      <c r="AF3" s="249" t="s">
        <v>126</v>
      </c>
      <c r="AG3" s="249" t="s">
        <v>135</v>
      </c>
      <c r="AH3" s="249" t="s">
        <v>130</v>
      </c>
      <c r="AI3" s="249" t="s">
        <v>136</v>
      </c>
      <c r="AJ3" s="249" t="s">
        <v>131</v>
      </c>
      <c r="AK3" s="249" t="s">
        <v>137</v>
      </c>
      <c r="AL3" s="249" t="s">
        <v>132</v>
      </c>
      <c r="AM3" s="249" t="s">
        <v>295</v>
      </c>
      <c r="AN3" s="249" t="s">
        <v>296</v>
      </c>
      <c r="AO3" s="325"/>
      <c r="AP3" s="253" t="s">
        <v>129</v>
      </c>
      <c r="AQ3" s="253" t="s">
        <v>127</v>
      </c>
      <c r="AR3" s="253" t="s">
        <v>118</v>
      </c>
      <c r="AS3" s="253" t="s">
        <v>119</v>
      </c>
      <c r="AT3" s="251"/>
      <c r="AU3" s="251" t="s">
        <v>128</v>
      </c>
      <c r="AV3" s="251" t="s">
        <v>122</v>
      </c>
      <c r="AW3" s="251" t="s">
        <v>123</v>
      </c>
      <c r="AX3" s="251"/>
      <c r="AY3" s="249" t="s">
        <v>139</v>
      </c>
      <c r="AZ3" s="249" t="s">
        <v>138</v>
      </c>
      <c r="BA3" s="701"/>
      <c r="BB3" s="697"/>
      <c r="BC3" s="699"/>
      <c r="BD3" s="249" t="s">
        <v>133</v>
      </c>
      <c r="BE3" s="701"/>
      <c r="BF3" s="697"/>
      <c r="BG3" s="699"/>
      <c r="BH3" s="249" t="s">
        <v>134</v>
      </c>
      <c r="BI3" s="701"/>
      <c r="BJ3" s="697"/>
      <c r="BK3" s="699"/>
      <c r="BL3" s="249" t="s">
        <v>135</v>
      </c>
      <c r="BM3" s="701"/>
      <c r="BN3" s="697"/>
      <c r="BO3" s="699"/>
      <c r="BP3" s="249" t="s">
        <v>136</v>
      </c>
      <c r="BQ3" s="701"/>
      <c r="BR3" s="697"/>
      <c r="BS3" s="699"/>
      <c r="BT3" s="249" t="s">
        <v>292</v>
      </c>
      <c r="BU3" s="701"/>
      <c r="BV3" s="697"/>
      <c r="BW3" s="699"/>
      <c r="BX3" s="705"/>
      <c r="BY3" s="732"/>
      <c r="BZ3" s="406" t="s">
        <v>300</v>
      </c>
      <c r="CL3" s="1"/>
      <c r="CM3" s="1"/>
      <c r="CN3" s="1"/>
      <c r="CO3" s="1"/>
      <c r="CP3" s="1"/>
      <c r="CQ3" s="1"/>
      <c r="CR3" s="1"/>
      <c r="CS3" s="1"/>
      <c r="CT3" s="1"/>
      <c r="CU3" s="1"/>
      <c r="CV3" s="1"/>
      <c r="CW3" s="1"/>
      <c r="CX3" s="1"/>
      <c r="CY3" s="1"/>
      <c r="CZ3" s="1"/>
      <c r="DA3" s="1"/>
      <c r="DB3" s="1"/>
      <c r="DC3" s="1"/>
      <c r="DD3" s="1"/>
      <c r="DE3" s="1"/>
      <c r="DF3" s="1"/>
      <c r="DG3" s="1"/>
      <c r="EX3" s="725" t="s">
        <v>239</v>
      </c>
      <c r="EY3" s="726"/>
      <c r="EZ3" s="726"/>
      <c r="FA3" s="726"/>
      <c r="FB3" s="726"/>
      <c r="FC3" s="726"/>
      <c r="FD3" s="726"/>
      <c r="FE3" s="726"/>
      <c r="FF3" s="726"/>
      <c r="FG3" s="726"/>
      <c r="FH3" s="726"/>
      <c r="FI3" s="726"/>
      <c r="FJ3" s="726"/>
      <c r="FK3" s="727"/>
      <c r="FM3" s="725" t="s">
        <v>240</v>
      </c>
      <c r="FN3" s="726"/>
      <c r="FO3" s="726"/>
      <c r="FP3" s="726"/>
      <c r="FQ3" s="726"/>
      <c r="FR3" s="726"/>
      <c r="FS3" s="726"/>
      <c r="FT3" s="726"/>
      <c r="FU3" s="726"/>
      <c r="FV3" s="726"/>
      <c r="FW3" s="726"/>
      <c r="FX3" s="726"/>
      <c r="FY3" s="726"/>
      <c r="FZ3" s="727"/>
      <c r="GB3" s="725" t="s">
        <v>241</v>
      </c>
      <c r="GC3" s="726"/>
      <c r="GD3" s="726"/>
      <c r="GE3" s="726"/>
      <c r="GF3" s="726"/>
      <c r="GG3" s="726"/>
      <c r="GH3" s="726"/>
      <c r="GI3" s="726"/>
      <c r="GJ3" s="726"/>
      <c r="GK3" s="726"/>
      <c r="GL3" s="726"/>
      <c r="GM3" s="726"/>
      <c r="GN3" s="726"/>
      <c r="GO3" s="727"/>
      <c r="GQ3" s="725" t="s">
        <v>245</v>
      </c>
      <c r="GR3" s="726"/>
      <c r="GS3" s="726"/>
      <c r="GT3" s="726"/>
      <c r="GU3" s="726"/>
      <c r="GV3" s="726"/>
      <c r="GW3" s="726"/>
      <c r="GX3" s="726"/>
      <c r="GY3" s="726"/>
      <c r="GZ3" s="726"/>
      <c r="HA3" s="726"/>
      <c r="HB3" s="726"/>
      <c r="HC3" s="726"/>
      <c r="HD3" s="727"/>
      <c r="HF3" s="725" t="s">
        <v>244</v>
      </c>
      <c r="HG3" s="726"/>
      <c r="HH3" s="726"/>
      <c r="HI3" s="726"/>
      <c r="HJ3" s="726"/>
      <c r="HK3" s="726"/>
      <c r="HL3" s="726"/>
      <c r="HM3" s="726"/>
      <c r="HN3" s="726"/>
      <c r="HO3" s="726"/>
      <c r="HP3" s="726"/>
      <c r="HQ3" s="726"/>
      <c r="HR3" s="726"/>
      <c r="HS3" s="727"/>
      <c r="HU3" s="725" t="s">
        <v>243</v>
      </c>
      <c r="HV3" s="726"/>
      <c r="HW3" s="726"/>
      <c r="HX3" s="726"/>
      <c r="HY3" s="726"/>
      <c r="HZ3" s="726"/>
      <c r="IA3" s="726"/>
      <c r="IB3" s="726"/>
      <c r="IC3" s="726"/>
      <c r="ID3" s="726"/>
      <c r="IE3" s="726"/>
      <c r="IF3" s="726"/>
      <c r="IG3" s="726"/>
      <c r="IH3" s="727"/>
      <c r="IJ3" s="725" t="s">
        <v>242</v>
      </c>
      <c r="IK3" s="726"/>
      <c r="IL3" s="726"/>
      <c r="IM3" s="726"/>
      <c r="IN3" s="726"/>
      <c r="IO3" s="726"/>
      <c r="IP3" s="726"/>
      <c r="IQ3" s="726"/>
      <c r="IR3" s="726"/>
      <c r="IS3" s="726"/>
      <c r="IT3" s="726"/>
      <c r="IU3" s="726"/>
      <c r="IV3" s="726"/>
      <c r="IW3" s="727"/>
      <c r="IX3" s="354"/>
      <c r="JB3" s="349"/>
    </row>
    <row r="4" spans="1:281" ht="19" thickBot="1">
      <c r="A4" s="259"/>
      <c r="B4" s="247"/>
      <c r="C4" s="247"/>
      <c r="D4" s="247"/>
      <c r="E4" s="247"/>
      <c r="F4" s="247"/>
      <c r="J4" s="3"/>
      <c r="K4" s="3">
        <v>1</v>
      </c>
      <c r="L4" s="258">
        <f>-H3</f>
        <v>-0.05</v>
      </c>
      <c r="M4" s="400"/>
      <c r="N4" s="270"/>
      <c r="O4" s="254">
        <f>IF('1 StrategyMix for CarbonTargets'!V10="Rural",-H16,IF('1 StrategyMix for CarbonTargets'!V10="Peri urban",-I16,IF('1 StrategyMix for CarbonTargets'!V10="Urban",-J16,0)))</f>
        <v>-2.8799999999999999E-2</v>
      </c>
      <c r="P4" s="254">
        <f>IF('1 StrategyMix for CarbonTargets'!V10="Rural",-H19,IF('1 StrategyMix for CarbonTargets'!V10="Peri urban",-I19,IF('1 StrategyMix for CarbonTargets'!V10="Urban",-J19,0)))</f>
        <v>-7.000000000000001E-3</v>
      </c>
      <c r="Q4" s="254">
        <f>IF('1 StrategyMix for CarbonTargets'!V10="Rural",-H22,IF('1 StrategyMix for CarbonTargets'!V10="Peri urban",-I22,IF('1 StrategyMix for CarbonTargets'!V10="Urban",-J22,0)))</f>
        <v>-2.2499999999999999E-2</v>
      </c>
      <c r="R4" s="254">
        <f>IF('1 StrategyMix for CarbonTargets'!V10="Rural",-H25,IF('1 StrategyMix for CarbonTargets'!V10="Peri urban",-I25,IF('1 StrategyMix for CarbonTargets'!V10="Urban",-J25,0)))</f>
        <v>-6.7500000000000004E-2</v>
      </c>
      <c r="S4" s="252"/>
      <c r="T4" s="252">
        <f>IF('1 StrategyMix for CarbonTargets'!V10="Rural",-H31,IF('1 StrategyMix for CarbonTargets'!V10="Peri urban",-I31,IF('1 StrategyMix for CarbonTargets'!V10="Urban",-J31,0)))</f>
        <v>-5.0364963503649648E-2</v>
      </c>
      <c r="U4" s="252">
        <f>IF('1 StrategyMix for CarbonTargets'!V10="Rural",-H32,IF('1 StrategyMix for CarbonTargets'!V10="Peri urban",-I32,IF('1 StrategyMix for CarbonTargets'!V10="Urban",-J32,0)))</f>
        <v>-0.10437956204379562</v>
      </c>
      <c r="V4" s="252">
        <f>IF('1 StrategyMix for CarbonTargets'!V10="Rural",-H33,IF('1 StrategyMix for CarbonTargets'!V10="Peri urban",-I33,IF('1 StrategyMix for CarbonTargets'!V10="Urban",-J33,0)))</f>
        <v>-0.24525547445255474</v>
      </c>
      <c r="W4" s="252"/>
      <c r="X4" s="396"/>
      <c r="Y4" s="396"/>
      <c r="Z4" s="250">
        <f>IF(A50=0, IF('1 StrategyMix for CarbonTargets'!V10="Rural",-H37,IF('1 StrategyMix for CarbonTargets'!V10="Peri urban",-I37,IF('1 StrategyMix for CarbonTargets'!V10="Urban",-J37,0))),IF(A50=0.1,IF('1 StrategyMix for CarbonTargets'!V10="Rural",-H47,IF('1 StrategyMix for CarbonTargets'!V10="Peri urban",-I47,IF('1 StrategyMix for CarbonTargets'!V10="Urban",-J47,0))),IF(A50=0.2,IF('1 StrategyMix for CarbonTargets'!V10="Rural",-H57,IF('1 StrategyMix for CarbonTargets'!V10="Peri urban",-I57,IF('1 StrategyMix for CarbonTargets'!V10="Urban",-J57,0))),IF(A50=0.3,IF('1 StrategyMix for CarbonTargets'!V10="Rural",-H67,IF('1 StrategyMix for CarbonTargets'!V10="Peri urban",-I67,IF('1 StrategyMix for CarbonTargets'!V10="Urban",-J67,0))),0))))*(1-'2 Stress Test Strategy Mix'!P32/'1 StrategyMix for CarbonTargets'!V12)</f>
        <v>-8.4839999999999971E-2</v>
      </c>
      <c r="AA4" s="250">
        <f>-Z4*0.1</f>
        <v>8.4839999999999968E-3</v>
      </c>
      <c r="AB4" s="250">
        <f>IF(A50=0, IF('1 StrategyMix for CarbonTargets'!V10="Rural",-H38+H37-AA4,IF('1 StrategyMix for CarbonTargets'!V10="Peri urban",-I38+I37-AA4,IF('1 StrategyMix for CarbonTargets'!V10="Urban",-J38+J37-AA4,0))),IF(A50=0.1,IF('1 StrategyMix for CarbonTargets'!V10="Rural",-H48+H47-AA4,IF('1 StrategyMix for CarbonTargets'!V10="Peri urban",-I48+I47-AA4,IF('1 StrategyMix for CarbonTargets'!V10="Urban",-J48+J47-AA4,0))),IF(A50=0.2,IF('1 StrategyMix for CarbonTargets'!V10="Rural",-H58+H57-AA4,IF('1 StrategyMix for CarbonTargets'!V10="Peri urban",-I58+I57-AA4,IF('1 StrategyMix for CarbonTargets'!V10="Urban",-J58+J57-AA4,0))),IF(A50=0.3,IF('1 StrategyMix for CarbonTargets'!V10="Rural",-H68+J67-AA4,IF('1 StrategyMix for CarbonTargets'!V10="Peri urban",-I68+I67-AA4,IF('1 StrategyMix for CarbonTargets'!V10="Urban",-J68+J67-AA4,0))),0))))</f>
        <v>-3.8794749913043457E-2</v>
      </c>
      <c r="AC4" s="250">
        <f>-Z4*0.1</f>
        <v>8.4839999999999968E-3</v>
      </c>
      <c r="AD4" s="250">
        <f>IF(A50=0, IF('1 StrategyMix for CarbonTargets'!V10="Rural",-H39+H38-AC4,IF('1 StrategyMix for CarbonTargets'!V10="Peri urban",-I39+I38-AC4,IF('1 StrategyMix for CarbonTargets'!V10="Urban",-J39+J38-AC4,0))),IF(A50=0.1,IF('1 StrategyMix for CarbonTargets'!V10="Rural",-H49+H48-AC4,IF('1 StrategyMix for CarbonTargets'!V10="Peri urban",-I49+I48-AC4,IF('1 StrategyMix for CarbonTargets'!V10="Urban",-J49+J48-AC4,0))),IF(A50=0.2,IF('1 StrategyMix for CarbonTargets'!V10="Rural",-H59+H58-AC4,IF('1 StrategyMix for CarbonTargets'!V10="Peri urban",-I59+I58-AC4,IF('1 StrategyMix for CarbonTargets'!V10="Urban",-J59+J58-AC4,0))),IF(A50=0.3,IF('1 StrategyMix for CarbonTargets'!V10="Rural",-H69+H68-AC4,IF('1 StrategyMix for CarbonTargets'!V10="Peri urban",-I69+I68-AC4,IF('1 StrategyMix for CarbonTargets'!V10="Urban",-J69+J68-AC4,0))),0))))</f>
        <v>-3.8794749913043457E-2</v>
      </c>
      <c r="AE4" s="250">
        <f>-Z4*0.2</f>
        <v>1.6967999999999994E-2</v>
      </c>
      <c r="AF4" s="250">
        <f>IF(A50=0, IF('1 StrategyMix for CarbonTargets'!V10="Rural",-H40+H39-AE4,IF('1 StrategyMix for CarbonTargets'!V10="Peri urban",-I40+I39-AE4,IF('1 StrategyMix for CarbonTargets'!V10="Urban",-J40+J39-AE4,0))),IF(A50=0.1,IF('1 StrategyMix for CarbonTargets'!V10="Rural",-H50+H49-AE4,IF('1 StrategyMix for CarbonTargets'!V10="Peri urban",-I50+I49-AE4,IF('1 StrategyMix for CarbonTargets'!V10="Urban",-J50+J49-AE4,0))),IF(A50=0.2,IF('1 StrategyMix for CarbonTargets'!V10="Rural",-H60+H59-AE4,IF('1 StrategyMix for CarbonTargets'!V10="Peri urban",-I60+I59-AE4,IF('1 StrategyMix for CarbonTargets'!V10="Urban",-J60+J59-AE4,0))),IF(A50=0.3,IF('1 StrategyMix for CarbonTargets'!V10="Rural",-H70+H69-AE4,IF('1 StrategyMix for CarbonTargets'!V10="Peri urban",-I70+I69-AE4,IF('1 StrategyMix for CarbonTargets'!V10="Urban",-J70+J69-AE4,0))),0))))</f>
        <v>-7.7589499826087024E-2</v>
      </c>
      <c r="AG4" s="250">
        <f>-Z4*0.2</f>
        <v>1.6967999999999994E-2</v>
      </c>
      <c r="AH4" s="250">
        <f>IF(A50=0, IF('1 StrategyMix for CarbonTargets'!V10="Rural",-H41+H40-AG4,IF('1 StrategyMix for CarbonTargets'!V10="Peri urban",-I41+I40-AG4,IF('1 StrategyMix for CarbonTargets'!V10="Urban",-J41+J40-AG4,0))),IF(A50=0.1,IF('1 StrategyMix for CarbonTargets'!V10="Rural",-H51+H50-AG4,IF('1 StrategyMix for CarbonTargets'!V10="Peri urban",-I51+I50-AG4,IF('1 StrategyMix for CarbonTargets'!V10="Urban",-J51+J50-AG4,0))),IF(A50=0.2,IF('1 StrategyMix for CarbonTargets'!V10="Rural",-H61+H60-AG4,IF('1 StrategyMix for CarbonTargets'!V10="Peri urban",-I61+I60-AG4,IF('1 StrategyMix for CarbonTargets'!V10="Urban",-J61+J60-AG4,0))),IF(A50=0.3,IF('1 StrategyMix for CarbonTargets'!V10="Rural",-H71+H70-AG4,IF('1 StrategyMix for CarbonTargets'!V10="Peri urban",-I71+I70-AG4,IF('1 StrategyMix for CarbonTargets'!V10="Urban",-J71+J70-AG4,0))),0))))</f>
        <v>-7.7589499826086886E-2</v>
      </c>
      <c r="AI4" s="263">
        <f>-Z4*0.2</f>
        <v>1.6967999999999994E-2</v>
      </c>
      <c r="AJ4" s="263">
        <f>IF(A50=0, IF('1 StrategyMix for CarbonTargets'!V10="Rural",-H42+H41-AI4,IF('1 StrategyMix for CarbonTargets'!V10="Peri urban",-I42+I41-AI4,IF('1 StrategyMix for CarbonTargets'!V10="Urban",-J42+J41-AI4,0))),IF(A50=0.1,IF('1 StrategyMix for CarbonTargets'!V10="Rural",-H52+H51-AI4,IF('1 StrategyMix for CarbonTargets'!V10="Peri urban",-I52+I51-AI4,IF('1 StrategyMix for CarbonTargets'!V10="Urban",-J52+J51-AI4,0))),IF(A50=0.2,IF('1 StrategyMix for CarbonTargets'!V10="Rural",-H62+H61-AI4,IF('1 StrategyMix for CarbonTargets'!V10="Peri urban",-I62+I61-AI4,IF('1 StrategyMix for CarbonTargets'!V10="Urban",-J62+J61-AI4,0))),IF(A50=0.3,IF('1 StrategyMix for CarbonTargets'!V10="Rural",-H72+H71-AI4,IF('1 StrategyMix for CarbonTargets'!V10="Peri urban",-I72+I71-AI4,IF('1 StrategyMix for CarbonTargets'!V10="Urban",-J72+J71-AI4,0))),0))))</f>
        <v>-7.7589499826086997E-2</v>
      </c>
      <c r="AK4" s="263">
        <f>-Z4*0.2</f>
        <v>1.6967999999999994E-2</v>
      </c>
      <c r="AL4" s="263">
        <f>IF(A50=0, IF('1 StrategyMix for CarbonTargets'!V10="Rural",-H43+H42-AK4,IF('1 StrategyMix for CarbonTargets'!V10="Peri urban",-I43+I42-AK4,IF('1 StrategyMix for CarbonTargets'!V10="Urban",-J43+J42-AK4,0))),IF(A50=0.1,IF('1 StrategyMix for CarbonTargets'!V10="Rural",-H53+H52-AK4,IF('1 StrategyMix for CarbonTargets'!V10="Peri urban",-I53+I52-AK4,IF('1 StrategyMix for CarbonTargets'!V10="Urban",-J53+J52-AK4,0))),IF(A50=0.2,IF('1 StrategyMix for CarbonTargets'!V10="Rural",-H63+H62-AK4,IF('1 StrategyMix for CarbonTargets'!V10="Peri urban",-I63+I62-AK4,IF('1 StrategyMix for CarbonTargets'!V10="Urban",-J63+J62-AK4,0))),IF(A50=0.3,IF('1 StrategyMix for CarbonTargets'!V10="Rural",-H73+H72-AK4,IF('1 StrategyMix for CarbonTargets'!V10="Peri urban",-I73+I72-AK4,IF('1 StrategyMix for CarbonTargets'!V10="Urban",-J73+J72-AK4,0))),0))))</f>
        <v>-7.7589499826086941E-2</v>
      </c>
      <c r="AO4" s="89"/>
      <c r="AP4" s="5">
        <f>O4</f>
        <v>-2.8799999999999999E-2</v>
      </c>
      <c r="AQ4" s="5">
        <f>P4</f>
        <v>-7.000000000000001E-3</v>
      </c>
      <c r="AR4" s="5">
        <f>Q4</f>
        <v>-2.2499999999999999E-2</v>
      </c>
      <c r="AS4" s="5">
        <f>R4</f>
        <v>-6.7500000000000004E-2</v>
      </c>
      <c r="AU4" s="5">
        <f>T4*(('1 StrategyMix for CarbonTargets'!$V$29+'2 Stress Test Strategy Mix'!$P$32)/'1 StrategyMix for CarbonTargets'!$V$29)</f>
        <v>-5.0364963503649648E-2</v>
      </c>
      <c r="AV4" s="5">
        <f>U4*(('1 StrategyMix for CarbonTargets'!$V$29+'2 Stress Test Strategy Mix'!$P$32)/'1 StrategyMix for CarbonTargets'!$V$29)</f>
        <v>-0.10437956204379562</v>
      </c>
      <c r="AW4" s="5">
        <f>V4*(('1 StrategyMix for CarbonTargets'!$V$29+'2 Stress Test Strategy Mix'!$P$32)/'1 StrategyMix for CarbonTargets'!$V$29)</f>
        <v>-0.24525547445255474</v>
      </c>
      <c r="AY4" s="5">
        <f>Z4*(('1 StrategyMix for CarbonTargets'!$V$29-'2 Stress Test Strategy Mix'!$P$32)/'1 StrategyMix for CarbonTargets'!$V$29)</f>
        <v>-8.4839999999999971E-2</v>
      </c>
      <c r="AZ4" s="5">
        <f>AA4*(('1 StrategyMix for CarbonTargets'!$V$29-'2 Stress Test Strategy Mix'!$P$32)/'1 StrategyMix for CarbonTargets'!$V$29)</f>
        <v>8.4839999999999968E-3</v>
      </c>
      <c r="BA4" s="282">
        <f>AB4</f>
        <v>-3.8794749913043457E-2</v>
      </c>
      <c r="BB4" s="282">
        <f>AB4</f>
        <v>-3.8794749913043457E-2</v>
      </c>
      <c r="BC4" s="108"/>
      <c r="BD4" s="5">
        <f>AC4*(('1 StrategyMix for CarbonTargets'!$V$29-'2 Stress Test Strategy Mix'!$P$32)/'1 StrategyMix for CarbonTargets'!$V$29)</f>
        <v>8.4839999999999968E-3</v>
      </c>
      <c r="BE4" s="282">
        <f>AD4</f>
        <v>-3.8794749913043457E-2</v>
      </c>
      <c r="BF4" s="282">
        <f>AD4</f>
        <v>-3.8794749913043457E-2</v>
      </c>
      <c r="BG4" s="108"/>
      <c r="BH4" s="5">
        <f>AE4*(('1 StrategyMix for CarbonTargets'!$V$29-'2 Stress Test Strategy Mix'!$P$32)/'1 StrategyMix for CarbonTargets'!$V$29)</f>
        <v>1.6967999999999994E-2</v>
      </c>
      <c r="BI4" s="282">
        <f>AF4</f>
        <v>-7.7589499826087024E-2</v>
      </c>
      <c r="BJ4" s="270">
        <f>AF4</f>
        <v>-7.7589499826087024E-2</v>
      </c>
      <c r="BK4" s="108"/>
      <c r="BL4" s="5">
        <f>AG4*(('1 StrategyMix for CarbonTargets'!$V$29-'2 Stress Test Strategy Mix'!$P$32)/'1 StrategyMix for CarbonTargets'!$V$29)</f>
        <v>1.6967999999999994E-2</v>
      </c>
      <c r="BM4" s="282">
        <f>AH4</f>
        <v>-7.7589499826086886E-2</v>
      </c>
      <c r="BN4" s="270">
        <f>AH4</f>
        <v>-7.7589499826086886E-2</v>
      </c>
      <c r="BO4" s="108"/>
      <c r="BP4" s="5">
        <f>AI4*(('1 StrategyMix for CarbonTargets'!$V$29-'2 Stress Test Strategy Mix'!$P$32)/'1 StrategyMix for CarbonTargets'!$V$29)</f>
        <v>1.6967999999999994E-2</v>
      </c>
      <c r="BQ4" s="282">
        <f>AJ4</f>
        <v>-7.7589499826086997E-2</v>
      </c>
      <c r="BR4" s="270">
        <f>AJ4</f>
        <v>-7.7589499826086997E-2</v>
      </c>
      <c r="BS4" s="108"/>
      <c r="BT4" s="5">
        <f>AK4*(('1 StrategyMix for CarbonTargets'!$V$29-'2 Stress Test Strategy Mix'!$P$32)/'1 StrategyMix for CarbonTargets'!$V$29)</f>
        <v>1.6967999999999994E-2</v>
      </c>
      <c r="BU4" s="282">
        <f>AL4</f>
        <v>-7.7589499826086941E-2</v>
      </c>
      <c r="BV4" s="270">
        <f>AL4</f>
        <v>-7.7589499826086941E-2</v>
      </c>
      <c r="BW4" s="108"/>
      <c r="BX4" s="5"/>
      <c r="BY4" s="5"/>
      <c r="BZ4" s="407">
        <v>0</v>
      </c>
      <c r="EX4" s="728"/>
      <c r="EY4" s="729"/>
      <c r="EZ4" s="729"/>
      <c r="FA4" s="729"/>
      <c r="FB4" s="729"/>
      <c r="FC4" s="729"/>
      <c r="FD4" s="729"/>
      <c r="FE4" s="729"/>
      <c r="FF4" s="729"/>
      <c r="FG4" s="729"/>
      <c r="FH4" s="729"/>
      <c r="FI4" s="729"/>
      <c r="FJ4" s="729"/>
      <c r="FK4" s="730"/>
      <c r="FM4" s="728"/>
      <c r="FN4" s="729"/>
      <c r="FO4" s="729"/>
      <c r="FP4" s="729"/>
      <c r="FQ4" s="729"/>
      <c r="FR4" s="729"/>
      <c r="FS4" s="729"/>
      <c r="FT4" s="729"/>
      <c r="FU4" s="729"/>
      <c r="FV4" s="729"/>
      <c r="FW4" s="729"/>
      <c r="FX4" s="729"/>
      <c r="FY4" s="729"/>
      <c r="FZ4" s="730"/>
      <c r="GB4" s="728"/>
      <c r="GC4" s="729"/>
      <c r="GD4" s="729"/>
      <c r="GE4" s="729"/>
      <c r="GF4" s="729"/>
      <c r="GG4" s="729"/>
      <c r="GH4" s="729"/>
      <c r="GI4" s="729"/>
      <c r="GJ4" s="729"/>
      <c r="GK4" s="729"/>
      <c r="GL4" s="729"/>
      <c r="GM4" s="729"/>
      <c r="GN4" s="729"/>
      <c r="GO4" s="730"/>
      <c r="GQ4" s="728"/>
      <c r="GR4" s="729"/>
      <c r="GS4" s="729"/>
      <c r="GT4" s="729"/>
      <c r="GU4" s="729"/>
      <c r="GV4" s="729"/>
      <c r="GW4" s="729"/>
      <c r="GX4" s="729"/>
      <c r="GY4" s="729"/>
      <c r="GZ4" s="729"/>
      <c r="HA4" s="729"/>
      <c r="HB4" s="729"/>
      <c r="HC4" s="729"/>
      <c r="HD4" s="730"/>
      <c r="HF4" s="728"/>
      <c r="HG4" s="729"/>
      <c r="HH4" s="729"/>
      <c r="HI4" s="729"/>
      <c r="HJ4" s="729"/>
      <c r="HK4" s="729"/>
      <c r="HL4" s="729"/>
      <c r="HM4" s="729"/>
      <c r="HN4" s="729"/>
      <c r="HO4" s="729"/>
      <c r="HP4" s="729"/>
      <c r="HQ4" s="729"/>
      <c r="HR4" s="729"/>
      <c r="HS4" s="730"/>
      <c r="HU4" s="728"/>
      <c r="HV4" s="729"/>
      <c r="HW4" s="729"/>
      <c r="HX4" s="729"/>
      <c r="HY4" s="729"/>
      <c r="HZ4" s="729"/>
      <c r="IA4" s="729"/>
      <c r="IB4" s="729"/>
      <c r="IC4" s="729"/>
      <c r="ID4" s="729"/>
      <c r="IE4" s="729"/>
      <c r="IF4" s="729"/>
      <c r="IG4" s="729"/>
      <c r="IH4" s="730"/>
      <c r="IJ4" s="728"/>
      <c r="IK4" s="729"/>
      <c r="IL4" s="729"/>
      <c r="IM4" s="729"/>
      <c r="IN4" s="729"/>
      <c r="IO4" s="729"/>
      <c r="IP4" s="729"/>
      <c r="IQ4" s="729"/>
      <c r="IR4" s="729"/>
      <c r="IS4" s="729"/>
      <c r="IT4" s="729"/>
      <c r="IU4" s="729"/>
      <c r="IV4" s="729"/>
      <c r="IW4" s="730"/>
      <c r="IX4" s="354"/>
    </row>
    <row r="5" spans="1:281" ht="15" thickBot="1">
      <c r="A5" s="692" t="s">
        <v>263</v>
      </c>
      <c r="B5" s="692"/>
      <c r="C5" s="692"/>
      <c r="D5" s="692"/>
      <c r="E5" s="692"/>
      <c r="F5" s="692"/>
      <c r="J5" s="3"/>
      <c r="K5" s="3"/>
      <c r="L5" s="315"/>
      <c r="M5" s="271"/>
      <c r="N5" s="271"/>
      <c r="O5" s="315"/>
      <c r="P5" s="315"/>
      <c r="Q5" s="315"/>
      <c r="R5" s="315"/>
      <c r="S5" s="271"/>
      <c r="T5" s="315"/>
      <c r="U5" s="315"/>
      <c r="V5" s="315"/>
      <c r="W5" s="271"/>
      <c r="X5" s="271"/>
      <c r="Y5" s="271"/>
      <c r="Z5" s="315"/>
      <c r="AA5" s="315" t="s">
        <v>179</v>
      </c>
      <c r="AB5" s="273">
        <f>IF(A50=0, IF('1 StrategyMix for CarbonTargets'!V10="Rural",-O38+O37-AA4,IF('1 StrategyMix for CarbonTargets'!V10="Peri urban",-P38+P37-AA4,IF('1 StrategyMix for CarbonTargets'!V10="Urban",-Q38+Q37-AA4,0))),IF(A50=0.1,IF('1 StrategyMix for CarbonTargets'!V10="Rural",-O48+O47-AA4,IF('1 StrategyMix for CarbonTargets'!V10="Peri urban",-P48+P47-AA4,IF('1 StrategyMix for CarbonTargets'!V10="Urban",-Q48+Q47-AA4,0))),IF(A50=0.2,IF('1 StrategyMix for CarbonTargets'!V10="Rural",-O58+O57-AA4,IF('1 StrategyMix for CarbonTargets'!V10="Peri urban",-P58+P57-AA4,IF('1 StrategyMix for CarbonTargets'!V10="Urban",-Q58+Q57-AA4,0))),IF(A50=0.3,IF('1 StrategyMix for CarbonTargets'!V10="Rural",-O68+Q67-AA4,IF('1 StrategyMix for CarbonTargets'!V10="Peri urban",-P68+P67-AA4,IF('1 StrategyMix for CarbonTargets'!V10="Urban",-Q68+Q67-AA4,0))),0))))</f>
        <v>-1.9831903304347802E-2</v>
      </c>
      <c r="AC5" s="315"/>
      <c r="AD5" s="273">
        <f>IF(A50=0, IF('1 StrategyMix for CarbonTargets'!V10="Rural",-O39+O38-AC4,IF('1 StrategyMix for CarbonTargets'!V10="Peri urban",-P39+P38-AC4,IF('1 StrategyMix for CarbonTargets'!V10="Urban",-Q39+Q38-AC4,0))),IF(A50=0.1,IF('1 StrategyMix for CarbonTargets'!V10="Rural",-O49+O48-AC4,IF('1 StrategyMix for CarbonTargets'!V10="Peri urban",-P49+P48-AC4,IF('1 StrategyMix for CarbonTargets'!V10="Urban",-Q49+Q48-AC4,0))),IF(A50=0.2,IF('1 StrategyMix for CarbonTargets'!V10="Rural",-O59+O58-AC4,IF('1 StrategyMix for CarbonTargets'!V10="Peri urban",-P59+P58-AC4,IF('1 StrategyMix for CarbonTargets'!V10="Urban",-Q59+Q58-AC4,0))),IF(A50=0.3,IF('1 StrategyMix for CarbonTargets'!V10="Rural",-O69+O68-AC4,IF('1 StrategyMix for CarbonTargets'!V10="Peri urban",-P69+P68-AC4,IF('1 StrategyMix for CarbonTargets'!V10="Urban",-Q69+Q68-AC4,0))),0))))</f>
        <v>-1.9831903304347843E-2</v>
      </c>
      <c r="AE5" s="315"/>
      <c r="AF5" s="273">
        <f>IF(A50=0, IF('1 StrategyMix for CarbonTargets'!V10="Rural",-O40+O39-AE4,IF('1 StrategyMix for CarbonTargets'!V10="Peri urban",-P40+P39-AE4,IF('1 StrategyMix for CarbonTargets'!V10="Urban",-Q40+Q39-AE4,0))),IF(A50=0.1,IF('1 StrategyMix for CarbonTargets'!V10="Rural",-O50+O49-AE4,IF('1 StrategyMix for CarbonTargets'!V10="Peri urban",-P50+P49-AE4,IF('1 StrategyMix for CarbonTargets'!V10="Urban",-Q50+Q49-AE4,0))),IF(A50=0.2,IF('1 StrategyMix for CarbonTargets'!V10="Rural",-O60+O59-AE4,IF('1 StrategyMix for CarbonTargets'!V10="Peri urban",-P60+P59-AE4,IF('1 StrategyMix for CarbonTargets'!V10="Urban",-Q60+Q59-AE4,0))),IF(A50=0.3,IF('1 StrategyMix for CarbonTargets'!V10="Rural",-O70+O69-AE4,IF('1 StrategyMix for CarbonTargets'!V10="Peri urban",-P70+P69-AE4,IF('1 StrategyMix for CarbonTargets'!V10="Urban",-Q70+Q69-AE4,0))),0))))</f>
        <v>-3.9663806608695673E-2</v>
      </c>
      <c r="AG5" s="315"/>
      <c r="AH5" s="273">
        <f>IF(A50=0, IF('1 StrategyMix for CarbonTargets'!V10="Rural",-O41+O40-AG4,IF('1 StrategyMix for CarbonTargets'!V10="Peri urban",-P41+P40-AG4,IF('1 StrategyMix for CarbonTargets'!V10="Urban",-Q41+Q40-AG4,0))),IF(A50=0.1,IF('1 StrategyMix for CarbonTargets'!V10="Rural",-O51+O50-AG4,IF('1 StrategyMix for CarbonTargets'!V10="Peri urban",-P51+P50-AG4,IF('1 StrategyMix for CarbonTargets'!V10="Urban",-Q51+Q50-AG4,0))),IF(A50=0.2,IF('1 StrategyMix for CarbonTargets'!V10="Rural",-O61+O60-AG4,IF('1 StrategyMix for CarbonTargets'!V10="Peri urban",-P61+P60-AG4,IF('1 StrategyMix for CarbonTargets'!V10="Urban",-Q61+Q60-AG4,0))),IF(A50=0.3,IF('1 StrategyMix for CarbonTargets'!V10="Rural",-O71+O70-AG4,IF('1 StrategyMix for CarbonTargets'!V10="Peri urban",-P71+P70-AG4,IF('1 StrategyMix for CarbonTargets'!V10="Urban",-Q71+Q70-AG4,0))),0))))</f>
        <v>-3.9663806608695631E-2</v>
      </c>
      <c r="AI5" s="271"/>
      <c r="AJ5" s="273">
        <f>IF(A50=0, IF('1 StrategyMix for CarbonTargets'!V10="Rural",-O42+O41-AI4,IF('1 StrategyMix for CarbonTargets'!V10="Peri urban",-P42+P41-AI4,IF('1 StrategyMix for CarbonTargets'!V10="Urban",-Q42+Q41-AI4,0))),IF(A50=0.1,IF('1 StrategyMix for CarbonTargets'!V10="Rural",-O52+O51-AI4,IF('1 StrategyMix for CarbonTargets'!V10="Peri urban",-P52+P51-AI4,IF('1 StrategyMix for CarbonTargets'!V10="Urban",-Q52+Q51-AI4,0))),IF(A50=0.2,IF('1 StrategyMix for CarbonTargets'!V10="Rural",-O62+O61-AI4,IF('1 StrategyMix for CarbonTargets'!V10="Peri urban",-P62+P61-AI4,IF('1 StrategyMix for CarbonTargets'!V10="Urban",-Q62+Q61-AI4,0))),IF(A50=0.3,IF('1 StrategyMix for CarbonTargets'!V10="Rural",-O72+O71-AI4,IF('1 StrategyMix for CarbonTargets'!V10="Peri urban",-P72+P71-AI4,IF('1 StrategyMix for CarbonTargets'!V10="Urban",-Q72+Q71-AI4,0))),0))))</f>
        <v>-3.9663806608695687E-2</v>
      </c>
      <c r="AK5" s="271"/>
      <c r="AL5" s="272">
        <f>IF(A50=0, IF('1 StrategyMix for CarbonTargets'!V10="Rural",-O43+O42-AK4,IF('1 StrategyMix for CarbonTargets'!V10="Peri urban",-P43+P42-AK4,IF('1 StrategyMix for CarbonTargets'!V10="Urban",-Q43+Q42-AK4,0))),IF(A50=0.1,IF('1 StrategyMix for CarbonTargets'!V10="Rural",-O53+O52-AK4,IF('1 StrategyMix for CarbonTargets'!V10="Peri urban",-P53+P52-AK4,IF('1 StrategyMix for CarbonTargets'!V10="Urban",-Q53+Q52-AK4,0))),IF(A50=0.2,IF('1 StrategyMix for CarbonTargets'!V10="Rural",-O63+O62-AK4,IF('1 StrategyMix for CarbonTargets'!V10="Peri urban",-P63+P62-AK4,IF('1 StrategyMix for CarbonTargets'!V10="Urban",-Q63+Q62-AK4,0))),IF(A50=0.3,IF('1 StrategyMix for CarbonTargets'!V10="Rural",-O73+O72-AK4,IF('1 StrategyMix for CarbonTargets'!V10="Peri urban",-P73+P72-AK4,IF('1 StrategyMix for CarbonTargets'!V10="Urban",-Q73+Q72-AK4,0))),0))))</f>
        <v>-3.9663806608695631E-2</v>
      </c>
      <c r="AO5" s="89"/>
      <c r="AU5" s="5">
        <f>T4*(('1 StrategyMix for CarbonTargets'!$V$29+'2 Stress Test Strategy Mix'!$P$40)/'1 StrategyMix for CarbonTargets'!$V$29)</f>
        <v>-5.0364963503649648E-2</v>
      </c>
      <c r="AV5" s="5">
        <f>U4*(('1 StrategyMix for CarbonTargets'!$V$29+'2 Stress Test Strategy Mix'!$P$40)/'1 StrategyMix for CarbonTargets'!$V$29)</f>
        <v>-0.10437956204379562</v>
      </c>
      <c r="AW5" s="5">
        <f>V4*(('1 StrategyMix for CarbonTargets'!$V$29+'2 Stress Test Strategy Mix'!$P$40)/'1 StrategyMix for CarbonTargets'!$V$29)</f>
        <v>-0.24525547445255474</v>
      </c>
      <c r="BA5" s="283"/>
      <c r="BB5" s="271"/>
      <c r="BC5" s="240"/>
      <c r="BE5" s="283"/>
      <c r="BF5" s="271"/>
      <c r="BG5" s="240"/>
      <c r="BI5" s="283"/>
      <c r="BJ5" s="271"/>
      <c r="BK5" s="240"/>
      <c r="BM5" s="283"/>
      <c r="BN5" s="271"/>
      <c r="BO5" s="240"/>
      <c r="BQ5" s="283"/>
      <c r="BR5" s="271"/>
      <c r="BS5" s="240"/>
      <c r="BU5" s="283"/>
      <c r="BV5" s="271"/>
      <c r="BW5" s="240"/>
      <c r="BZ5" s="408"/>
      <c r="EX5" s="89"/>
      <c r="EY5" s="72">
        <v>1</v>
      </c>
      <c r="EZ5" s="371">
        <f>EY5+0.0001</f>
        <v>1.0001</v>
      </c>
      <c r="FA5" s="371">
        <f t="shared" ref="FA5:FK5" si="1">EZ5+0.0001</f>
        <v>1.0002</v>
      </c>
      <c r="FB5" s="371">
        <f t="shared" si="1"/>
        <v>1.0003</v>
      </c>
      <c r="FC5" s="371">
        <f t="shared" si="1"/>
        <v>1.0004</v>
      </c>
      <c r="FD5" s="371">
        <f t="shared" si="1"/>
        <v>1.0004999999999999</v>
      </c>
      <c r="FE5" s="371">
        <f t="shared" si="1"/>
        <v>1.0005999999999999</v>
      </c>
      <c r="FF5" s="371">
        <f t="shared" si="1"/>
        <v>1.0006999999999999</v>
      </c>
      <c r="FG5" s="371">
        <f t="shared" si="1"/>
        <v>1.0007999999999999</v>
      </c>
      <c r="FH5" s="371">
        <f t="shared" si="1"/>
        <v>1.0008999999999999</v>
      </c>
      <c r="FI5" s="371">
        <f t="shared" si="1"/>
        <v>1.0009999999999999</v>
      </c>
      <c r="FJ5" s="371">
        <f t="shared" si="1"/>
        <v>1.0010999999999999</v>
      </c>
      <c r="FK5" s="371">
        <f t="shared" si="1"/>
        <v>1.0011999999999999</v>
      </c>
      <c r="FM5" s="228"/>
      <c r="FN5" s="72">
        <v>0.8</v>
      </c>
      <c r="FO5" s="371">
        <f>FN5+0.0001</f>
        <v>0.80010000000000003</v>
      </c>
      <c r="FP5" s="371">
        <f t="shared" ref="FP5:FZ5" si="2">FO5+0.0001</f>
        <v>0.80020000000000002</v>
      </c>
      <c r="FQ5" s="371">
        <f t="shared" si="2"/>
        <v>0.80030000000000001</v>
      </c>
      <c r="FR5" s="371">
        <f t="shared" si="2"/>
        <v>0.8004</v>
      </c>
      <c r="FS5" s="371">
        <f t="shared" si="2"/>
        <v>0.80049999999999999</v>
      </c>
      <c r="FT5" s="371">
        <f t="shared" si="2"/>
        <v>0.80059999999999998</v>
      </c>
      <c r="FU5" s="371">
        <f t="shared" si="2"/>
        <v>0.80069999999999997</v>
      </c>
      <c r="FV5" s="371">
        <f t="shared" si="2"/>
        <v>0.80079999999999996</v>
      </c>
      <c r="FW5" s="371">
        <f t="shared" si="2"/>
        <v>0.80089999999999995</v>
      </c>
      <c r="FX5" s="371">
        <f t="shared" si="2"/>
        <v>0.80099999999999993</v>
      </c>
      <c r="FY5" s="371">
        <f t="shared" si="2"/>
        <v>0.80109999999999992</v>
      </c>
      <c r="FZ5" s="371">
        <f t="shared" si="2"/>
        <v>0.80119999999999991</v>
      </c>
      <c r="GB5" s="89"/>
      <c r="GC5" s="72">
        <v>0.6</v>
      </c>
      <c r="GD5" s="371">
        <f>GC5+0.0001</f>
        <v>0.60009999999999997</v>
      </c>
      <c r="GE5" s="371">
        <f t="shared" ref="GE5:GO5" si="3">GD5+0.0001</f>
        <v>0.60019999999999996</v>
      </c>
      <c r="GF5" s="371">
        <f t="shared" si="3"/>
        <v>0.60029999999999994</v>
      </c>
      <c r="GG5" s="371">
        <f t="shared" si="3"/>
        <v>0.60039999999999993</v>
      </c>
      <c r="GH5" s="371">
        <f t="shared" si="3"/>
        <v>0.60049999999999992</v>
      </c>
      <c r="GI5" s="371">
        <f t="shared" si="3"/>
        <v>0.60059999999999991</v>
      </c>
      <c r="GJ5" s="371">
        <f t="shared" si="3"/>
        <v>0.6006999999999999</v>
      </c>
      <c r="GK5" s="371">
        <f t="shared" si="3"/>
        <v>0.60079999999999989</v>
      </c>
      <c r="GL5" s="371">
        <f t="shared" si="3"/>
        <v>0.60089999999999988</v>
      </c>
      <c r="GM5" s="371">
        <f t="shared" si="3"/>
        <v>0.60099999999999987</v>
      </c>
      <c r="GN5" s="371">
        <f t="shared" si="3"/>
        <v>0.60109999999999986</v>
      </c>
      <c r="GO5" s="371">
        <f t="shared" si="3"/>
        <v>0.60119999999999985</v>
      </c>
      <c r="GQ5" s="89"/>
      <c r="GR5" s="72">
        <v>0.4</v>
      </c>
      <c r="GS5" s="371">
        <f>GR5+0.0001</f>
        <v>0.40010000000000001</v>
      </c>
      <c r="GT5" s="371">
        <f t="shared" ref="GT5:HD5" si="4">GS5+0.0001</f>
        <v>0.4002</v>
      </c>
      <c r="GU5" s="371">
        <f t="shared" si="4"/>
        <v>0.40029999999999999</v>
      </c>
      <c r="GV5" s="371">
        <f t="shared" si="4"/>
        <v>0.40039999999999998</v>
      </c>
      <c r="GW5" s="371">
        <f t="shared" si="4"/>
        <v>0.40049999999999997</v>
      </c>
      <c r="GX5" s="371">
        <f t="shared" si="4"/>
        <v>0.40059999999999996</v>
      </c>
      <c r="GY5" s="371">
        <f t="shared" si="4"/>
        <v>0.40069999999999995</v>
      </c>
      <c r="GZ5" s="371">
        <f t="shared" si="4"/>
        <v>0.40079999999999993</v>
      </c>
      <c r="HA5" s="371">
        <f t="shared" si="4"/>
        <v>0.40089999999999992</v>
      </c>
      <c r="HB5" s="371">
        <f t="shared" si="4"/>
        <v>0.40099999999999991</v>
      </c>
      <c r="HC5" s="371">
        <f t="shared" si="4"/>
        <v>0.4010999999999999</v>
      </c>
      <c r="HD5" s="371">
        <f t="shared" si="4"/>
        <v>0.40119999999999989</v>
      </c>
      <c r="HF5" s="89"/>
      <c r="HG5" s="72">
        <v>0.2</v>
      </c>
      <c r="HH5" s="371">
        <f>HG5+0.0001</f>
        <v>0.2001</v>
      </c>
      <c r="HI5" s="371">
        <f t="shared" ref="HI5:HS5" si="5">HH5+0.0001</f>
        <v>0.20019999999999999</v>
      </c>
      <c r="HJ5" s="371">
        <f t="shared" si="5"/>
        <v>0.20029999999999998</v>
      </c>
      <c r="HK5" s="371">
        <f t="shared" si="5"/>
        <v>0.20039999999999997</v>
      </c>
      <c r="HL5" s="371">
        <f t="shared" si="5"/>
        <v>0.20049999999999996</v>
      </c>
      <c r="HM5" s="371">
        <f t="shared" si="5"/>
        <v>0.20059999999999995</v>
      </c>
      <c r="HN5" s="371">
        <f t="shared" si="5"/>
        <v>0.20069999999999993</v>
      </c>
      <c r="HO5" s="371">
        <f t="shared" si="5"/>
        <v>0.20079999999999992</v>
      </c>
      <c r="HP5" s="371">
        <f t="shared" si="5"/>
        <v>0.20089999999999991</v>
      </c>
      <c r="HQ5" s="371">
        <f t="shared" si="5"/>
        <v>0.2009999999999999</v>
      </c>
      <c r="HR5" s="371">
        <f t="shared" si="5"/>
        <v>0.20109999999999989</v>
      </c>
      <c r="HS5" s="371">
        <f t="shared" si="5"/>
        <v>0.20119999999999988</v>
      </c>
      <c r="HU5" s="89"/>
      <c r="HV5" s="72">
        <v>0.1</v>
      </c>
      <c r="HW5" s="371">
        <f>HV5+0.0001</f>
        <v>0.10010000000000001</v>
      </c>
      <c r="HX5" s="371">
        <f t="shared" ref="HX5:IH5" si="6">HW5+0.0001</f>
        <v>0.10020000000000001</v>
      </c>
      <c r="HY5" s="371">
        <f t="shared" si="6"/>
        <v>0.10030000000000001</v>
      </c>
      <c r="HZ5" s="371">
        <f t="shared" si="6"/>
        <v>0.10040000000000002</v>
      </c>
      <c r="IA5" s="371">
        <f t="shared" si="6"/>
        <v>0.10050000000000002</v>
      </c>
      <c r="IB5" s="371">
        <f t="shared" si="6"/>
        <v>0.10060000000000002</v>
      </c>
      <c r="IC5" s="371">
        <f t="shared" si="6"/>
        <v>0.10070000000000003</v>
      </c>
      <c r="ID5" s="371">
        <f t="shared" si="6"/>
        <v>0.10080000000000003</v>
      </c>
      <c r="IE5" s="371">
        <f t="shared" si="6"/>
        <v>0.10090000000000003</v>
      </c>
      <c r="IF5" s="371">
        <f t="shared" si="6"/>
        <v>0.10100000000000003</v>
      </c>
      <c r="IG5" s="371">
        <f t="shared" si="6"/>
        <v>0.10110000000000004</v>
      </c>
      <c r="IH5" s="371">
        <f t="shared" si="6"/>
        <v>0.10120000000000004</v>
      </c>
      <c r="IJ5" s="89"/>
      <c r="IK5" s="72">
        <v>0</v>
      </c>
      <c r="IL5" s="371">
        <f>IK5+0.0001</f>
        <v>1E-4</v>
      </c>
      <c r="IM5" s="371">
        <f t="shared" ref="IM5:IW5" si="7">IL5+0.0001</f>
        <v>2.0000000000000001E-4</v>
      </c>
      <c r="IN5" s="371">
        <f t="shared" si="7"/>
        <v>3.0000000000000003E-4</v>
      </c>
      <c r="IO5" s="371">
        <f t="shared" si="7"/>
        <v>4.0000000000000002E-4</v>
      </c>
      <c r="IP5" s="371">
        <f t="shared" si="7"/>
        <v>5.0000000000000001E-4</v>
      </c>
      <c r="IQ5" s="371">
        <f t="shared" si="7"/>
        <v>6.0000000000000006E-4</v>
      </c>
      <c r="IR5" s="371">
        <f t="shared" si="7"/>
        <v>7.000000000000001E-4</v>
      </c>
      <c r="IS5" s="371">
        <f t="shared" si="7"/>
        <v>8.0000000000000015E-4</v>
      </c>
      <c r="IT5" s="371">
        <f t="shared" si="7"/>
        <v>9.0000000000000019E-4</v>
      </c>
      <c r="IU5" s="371">
        <f t="shared" si="7"/>
        <v>1.0000000000000002E-3</v>
      </c>
      <c r="IV5" s="371">
        <f t="shared" si="7"/>
        <v>1.1000000000000003E-3</v>
      </c>
      <c r="IW5" s="371">
        <f t="shared" si="7"/>
        <v>1.2000000000000003E-3</v>
      </c>
      <c r="IX5" s="371"/>
    </row>
    <row r="6" spans="1:281" ht="58" customHeight="1">
      <c r="A6" s="356">
        <f>'2 Stress Test Strategy Mix'!P6</f>
        <v>0.2</v>
      </c>
      <c r="B6" s="247"/>
      <c r="C6" s="247"/>
      <c r="D6" s="247"/>
      <c r="E6" s="247"/>
      <c r="F6" s="247"/>
      <c r="J6" s="316">
        <v>2030</v>
      </c>
      <c r="K6" s="317">
        <v>1</v>
      </c>
      <c r="L6" s="317">
        <f>-H3</f>
        <v>-0.05</v>
      </c>
      <c r="M6" s="317">
        <f>(A6/30)*10</f>
        <v>6.6666666666666666E-2</v>
      </c>
      <c r="N6" s="317"/>
      <c r="O6" s="319">
        <f>AP20*(1+$M$6)</f>
        <v>-1.0240000000000001E-2</v>
      </c>
      <c r="P6" s="319">
        <f>AQ20*(1+$M$6)</f>
        <v>-2.1333333333333339E-3</v>
      </c>
      <c r="Q6" s="319">
        <f>AR20*(1+$M$6)</f>
        <v>-5.5384615384615372E-3</v>
      </c>
      <c r="R6" s="319">
        <f>AS20*(1+$M$6)</f>
        <v>-3.4285714285714288E-3</v>
      </c>
      <c r="S6" s="318"/>
      <c r="T6" s="319">
        <f>AU20*(1+$M$6)</f>
        <v>-1.7907542579075432E-2</v>
      </c>
      <c r="U6" s="319">
        <f>AV20*(1+$M$6)</f>
        <v>-3.711273317112733E-2</v>
      </c>
      <c r="V6" s="319">
        <f>AW20*(1+$M$6)</f>
        <v>-8.7201946472019454E-2</v>
      </c>
      <c r="W6" s="318"/>
      <c r="X6" s="397">
        <f>BX20*(1+$M$6)</f>
        <v>-2.0583403921568617E-2</v>
      </c>
      <c r="Y6" s="397">
        <f>BY20*(1+$M$6)</f>
        <v>-9.9187113429951707E-2</v>
      </c>
      <c r="Z6" s="319">
        <f>AY20*(1+$M$6)</f>
        <v>-5.3232941176470566E-2</v>
      </c>
      <c r="AA6" s="319">
        <f>AZ20*(1+$M$6)</f>
        <v>4.2586352941176454E-3</v>
      </c>
      <c r="AB6" s="319">
        <f>BC20*(1+$M$6)</f>
        <v>-1.2398389178743949E-2</v>
      </c>
      <c r="AC6" s="319">
        <f>BD20*(1+$M$6)</f>
        <v>4.2586352941176454E-3</v>
      </c>
      <c r="AD6" s="319">
        <f>BG20*(1+$M$6)</f>
        <v>-1.239838917874397E-2</v>
      </c>
      <c r="AE6" s="319">
        <f>BH20*(1+$M$6)</f>
        <v>8.0440888888888857E-3</v>
      </c>
      <c r="AF6" s="319">
        <f>BK20*(1+$M$6)</f>
        <v>-2.4796778357487937E-2</v>
      </c>
      <c r="AG6" s="319">
        <f>BL20*(1+$M$6)</f>
        <v>8.0440888888888857E-3</v>
      </c>
      <c r="AH6" s="319">
        <f>BO20*(1+$M$6)</f>
        <v>-2.4796778357487909E-2</v>
      </c>
      <c r="AI6" s="320">
        <f>BP20*(1+$M$6)</f>
        <v>8.0440888888888857E-3</v>
      </c>
      <c r="AJ6" s="319">
        <f>BS20*(1+$M$6)</f>
        <v>-2.4796778357487937E-2</v>
      </c>
      <c r="AK6" s="320">
        <f>BT20*(1+$M$6)</f>
        <v>8.0440888888888857E-3</v>
      </c>
      <c r="AL6" s="321">
        <f>BW20*(1+$M$6)</f>
        <v>-2.4796778357487913E-2</v>
      </c>
      <c r="AM6" s="321">
        <f>BX20*(1+$M$6)</f>
        <v>-2.0583403921568617E-2</v>
      </c>
      <c r="AN6" s="321">
        <f>BY20*(1+$M$6)</f>
        <v>-9.9187113429951707E-2</v>
      </c>
      <c r="AO6" s="326" t="s">
        <v>169</v>
      </c>
      <c r="AP6" s="322">
        <f>'1 StrategyMix for CarbonTargets'!Y17</f>
        <v>2021</v>
      </c>
      <c r="AQ6" s="322">
        <f>'1 StrategyMix for CarbonTargets'!Y19</f>
        <v>2023</v>
      </c>
      <c r="AR6" s="322">
        <f>'1 StrategyMix for CarbonTargets'!Y22</f>
        <v>2025</v>
      </c>
      <c r="AS6" s="322">
        <f>'1 StrategyMix for CarbonTargets'!Y25</f>
        <v>2030</v>
      </c>
      <c r="AT6" s="322"/>
      <c r="AU6" s="322">
        <f>'1 StrategyMix for CarbonTargets'!Y29</f>
        <v>2021</v>
      </c>
      <c r="AV6" s="322">
        <f>'1 StrategyMix for CarbonTargets'!Y31</f>
        <v>2021</v>
      </c>
      <c r="AW6" s="322">
        <f>'1 StrategyMix for CarbonTargets'!Y33</f>
        <v>2021</v>
      </c>
      <c r="AX6" s="322"/>
      <c r="AY6" s="322">
        <f>'1 StrategyMix for CarbonTargets'!Y40</f>
        <v>2021</v>
      </c>
      <c r="AZ6" s="322">
        <f>ROUNDUP(('2 Stress Test Strategy Mix'!$P$29+'2 Stress Test Strategy Mix'!$P$37)/2,0)</f>
        <v>2023</v>
      </c>
      <c r="BA6" s="323">
        <f>'1 StrategyMix for CarbonTargets'!Y38</f>
        <v>2021</v>
      </c>
      <c r="BB6" s="318">
        <f>ROUNDUP(('2 Stress Test Strategy Mix'!$P$29+'2 Stress Test Strategy Mix'!$P$37)/2,0)</f>
        <v>2023</v>
      </c>
      <c r="BC6" s="324"/>
      <c r="BD6" s="322">
        <f>ROUNDUP(('2 Stress Test Strategy Mix'!$P$29+'2 Stress Test Strategy Mix'!$P$37)/2,0)</f>
        <v>2023</v>
      </c>
      <c r="BE6" s="323">
        <f>'1 StrategyMix for CarbonTargets'!Y38</f>
        <v>2021</v>
      </c>
      <c r="BF6" s="318">
        <f>ROUNDUP(('2 Stress Test Strategy Mix'!$P$29+'2 Stress Test Strategy Mix'!$P$37)/2,0)</f>
        <v>2023</v>
      </c>
      <c r="BG6" s="324"/>
      <c r="BH6" s="322">
        <f>ROUNDUP(('2 Stress Test Strategy Mix'!$P$29+'2 Stress Test Strategy Mix'!$P$37)/2,0)</f>
        <v>2023</v>
      </c>
      <c r="BI6" s="323">
        <f>'1 StrategyMix for CarbonTargets'!Y38</f>
        <v>2021</v>
      </c>
      <c r="BJ6" s="318">
        <f>ROUNDUP(('2 Stress Test Strategy Mix'!$P$29+'2 Stress Test Strategy Mix'!$P$37)/2,0)</f>
        <v>2023</v>
      </c>
      <c r="BK6" s="324"/>
      <c r="BL6" s="322">
        <f>ROUNDUP(('2 Stress Test Strategy Mix'!$P$29+'2 Stress Test Strategy Mix'!$P$37)/2,0)</f>
        <v>2023</v>
      </c>
      <c r="BM6" s="323">
        <f>'1 StrategyMix for CarbonTargets'!Y38</f>
        <v>2021</v>
      </c>
      <c r="BN6" s="318">
        <f>ROUNDUP(('2 Stress Test Strategy Mix'!$P$29+'2 Stress Test Strategy Mix'!$P$37)/2,0)</f>
        <v>2023</v>
      </c>
      <c r="BO6" s="324"/>
      <c r="BP6" s="322">
        <f>ROUNDUP(('2 Stress Test Strategy Mix'!$P$29+'2 Stress Test Strategy Mix'!$P$37)/2,0)</f>
        <v>2023</v>
      </c>
      <c r="BQ6" s="323">
        <f>'1 StrategyMix for CarbonTargets'!Y38</f>
        <v>2021</v>
      </c>
      <c r="BR6" s="318">
        <f>ROUNDUP(('2 Stress Test Strategy Mix'!$P$29+'2 Stress Test Strategy Mix'!$P$37)/2,0)</f>
        <v>2023</v>
      </c>
      <c r="BS6" s="324"/>
      <c r="BT6" s="322">
        <f>ROUNDUP(('2 Stress Test Strategy Mix'!$P$29+'2 Stress Test Strategy Mix'!$P$37)/2,0)</f>
        <v>2023</v>
      </c>
      <c r="BU6" s="323">
        <f>'1 StrategyMix for CarbonTargets'!Y38</f>
        <v>2021</v>
      </c>
      <c r="BV6" s="318">
        <f>ROUNDUP(('2 Stress Test Strategy Mix'!$P$29+'2 Stress Test Strategy Mix'!$P$37)/2,0)</f>
        <v>2023</v>
      </c>
      <c r="BW6" s="324"/>
      <c r="BZ6" s="408">
        <f>ROUNDUP(('2 Stress Test Strategy Mix'!$P$29+'2 Stress Test Strategy Mix'!$P$37)/2,0)</f>
        <v>2023</v>
      </c>
      <c r="CB6" s="717" t="s">
        <v>231</v>
      </c>
      <c r="CC6" s="718"/>
      <c r="CD6" s="718"/>
      <c r="CE6" s="718"/>
      <c r="CF6" s="718"/>
      <c r="CG6" s="718"/>
      <c r="CH6" s="718"/>
      <c r="CI6" s="718"/>
      <c r="CJ6" s="719"/>
      <c r="EX6" s="89"/>
      <c r="EY6" t="s">
        <v>226</v>
      </c>
      <c r="EZ6" s="1" t="s">
        <v>227</v>
      </c>
      <c r="FA6" s="288" t="s">
        <v>218</v>
      </c>
      <c r="FB6" s="288" t="s">
        <v>224</v>
      </c>
      <c r="FC6" s="249" t="s">
        <v>216</v>
      </c>
      <c r="FD6" s="249" t="s">
        <v>213</v>
      </c>
      <c r="FE6" s="251" t="s">
        <v>265</v>
      </c>
      <c r="FF6" s="251" t="s">
        <v>254</v>
      </c>
      <c r="FG6" s="251" t="s">
        <v>253</v>
      </c>
      <c r="FH6" s="253" t="s">
        <v>119</v>
      </c>
      <c r="FI6" s="253" t="s">
        <v>118</v>
      </c>
      <c r="FJ6" s="253" t="s">
        <v>127</v>
      </c>
      <c r="FK6" s="345" t="s">
        <v>129</v>
      </c>
      <c r="FM6" s="89"/>
      <c r="FN6" t="s">
        <v>226</v>
      </c>
      <c r="FO6" s="1" t="s">
        <v>227</v>
      </c>
      <c r="FP6" s="288" t="s">
        <v>218</v>
      </c>
      <c r="FQ6" s="288" t="s">
        <v>224</v>
      </c>
      <c r="FR6" s="249" t="s">
        <v>217</v>
      </c>
      <c r="FS6" s="249" t="s">
        <v>211</v>
      </c>
      <c r="FT6" s="251" t="s">
        <v>265</v>
      </c>
      <c r="FU6" s="251" t="s">
        <v>254</v>
      </c>
      <c r="FV6" s="251" t="s">
        <v>253</v>
      </c>
      <c r="FW6" s="253" t="s">
        <v>119</v>
      </c>
      <c r="FX6" s="253" t="s">
        <v>118</v>
      </c>
      <c r="FY6" s="253" t="s">
        <v>127</v>
      </c>
      <c r="FZ6" s="345" t="s">
        <v>129</v>
      </c>
      <c r="GB6" s="89"/>
      <c r="GC6" t="s">
        <v>226</v>
      </c>
      <c r="GD6" s="1" t="s">
        <v>227</v>
      </c>
      <c r="GE6" s="288" t="s">
        <v>218</v>
      </c>
      <c r="GF6" s="288" t="s">
        <v>224</v>
      </c>
      <c r="GG6" s="249" t="s">
        <v>215</v>
      </c>
      <c r="GH6" s="249" t="s">
        <v>210</v>
      </c>
      <c r="GI6" s="251" t="s">
        <v>265</v>
      </c>
      <c r="GJ6" s="251" t="s">
        <v>254</v>
      </c>
      <c r="GK6" s="251" t="s">
        <v>253</v>
      </c>
      <c r="GL6" s="253" t="s">
        <v>119</v>
      </c>
      <c r="GM6" s="253" t="s">
        <v>118</v>
      </c>
      <c r="GN6" s="253" t="s">
        <v>127</v>
      </c>
      <c r="GO6" s="345" t="s">
        <v>129</v>
      </c>
      <c r="GQ6" s="89"/>
      <c r="GR6" t="s">
        <v>226</v>
      </c>
      <c r="GS6" s="1" t="s">
        <v>227</v>
      </c>
      <c r="GT6" s="288" t="s">
        <v>218</v>
      </c>
      <c r="GU6" s="288" t="s">
        <v>224</v>
      </c>
      <c r="GV6" s="249" t="s">
        <v>209</v>
      </c>
      <c r="GW6" s="249" t="s">
        <v>208</v>
      </c>
      <c r="GX6" s="251" t="s">
        <v>265</v>
      </c>
      <c r="GY6" s="251" t="s">
        <v>254</v>
      </c>
      <c r="GZ6" s="251" t="s">
        <v>253</v>
      </c>
      <c r="HA6" s="253" t="s">
        <v>119</v>
      </c>
      <c r="HB6" s="253" t="s">
        <v>118</v>
      </c>
      <c r="HC6" s="253" t="s">
        <v>127</v>
      </c>
      <c r="HD6" s="345" t="s">
        <v>129</v>
      </c>
      <c r="HF6" s="89"/>
      <c r="HG6" t="s">
        <v>226</v>
      </c>
      <c r="HH6" s="1" t="s">
        <v>227</v>
      </c>
      <c r="HI6" s="288" t="s">
        <v>218</v>
      </c>
      <c r="HJ6" s="288" t="s">
        <v>224</v>
      </c>
      <c r="HK6" s="249" t="s">
        <v>207</v>
      </c>
      <c r="HL6" s="249" t="s">
        <v>206</v>
      </c>
      <c r="HM6" s="251" t="s">
        <v>265</v>
      </c>
      <c r="HN6" s="251" t="s">
        <v>254</v>
      </c>
      <c r="HO6" s="251" t="s">
        <v>253</v>
      </c>
      <c r="HP6" s="253" t="s">
        <v>119</v>
      </c>
      <c r="HQ6" s="253" t="s">
        <v>118</v>
      </c>
      <c r="HR6" s="253" t="s">
        <v>127</v>
      </c>
      <c r="HS6" s="345" t="s">
        <v>129</v>
      </c>
      <c r="HU6" s="89"/>
      <c r="HV6" t="s">
        <v>226</v>
      </c>
      <c r="HW6" s="1" t="s">
        <v>227</v>
      </c>
      <c r="HX6" s="288" t="s">
        <v>218</v>
      </c>
      <c r="HY6" s="288" t="s">
        <v>224</v>
      </c>
      <c r="HZ6" s="249" t="s">
        <v>124</v>
      </c>
      <c r="IA6" s="249" t="s">
        <v>205</v>
      </c>
      <c r="IB6" s="251" t="s">
        <v>265</v>
      </c>
      <c r="IC6" s="251" t="s">
        <v>254</v>
      </c>
      <c r="ID6" s="251" t="s">
        <v>253</v>
      </c>
      <c r="IE6" s="253" t="s">
        <v>119</v>
      </c>
      <c r="IF6" s="253" t="s">
        <v>118</v>
      </c>
      <c r="IG6" s="253" t="s">
        <v>127</v>
      </c>
      <c r="IH6" s="345" t="s">
        <v>129</v>
      </c>
      <c r="IJ6" s="89" t="s">
        <v>257</v>
      </c>
      <c r="IK6" t="s">
        <v>226</v>
      </c>
      <c r="IL6" s="1" t="s">
        <v>227</v>
      </c>
      <c r="IM6" s="288" t="s">
        <v>218</v>
      </c>
      <c r="IN6" s="288" t="s">
        <v>224</v>
      </c>
      <c r="IO6" s="249" t="s">
        <v>264</v>
      </c>
      <c r="IP6" s="249" t="s">
        <v>139</v>
      </c>
      <c r="IQ6" s="251" t="s">
        <v>265</v>
      </c>
      <c r="IR6" s="251" t="s">
        <v>254</v>
      </c>
      <c r="IS6" s="251" t="s">
        <v>253</v>
      </c>
      <c r="IT6" s="253" t="s">
        <v>119</v>
      </c>
      <c r="IU6" s="253" t="s">
        <v>118</v>
      </c>
      <c r="IV6" s="253" t="s">
        <v>127</v>
      </c>
      <c r="IW6" s="345" t="s">
        <v>129</v>
      </c>
      <c r="IX6" s="253"/>
      <c r="IZ6" s="731" t="s">
        <v>258</v>
      </c>
      <c r="JA6" s="731"/>
      <c r="JB6" s="731"/>
      <c r="JC6" s="731"/>
      <c r="JD6" s="731"/>
      <c r="JE6" s="731"/>
      <c r="JF6" s="731"/>
      <c r="JG6" s="731"/>
      <c r="JH6" s="731"/>
      <c r="JI6" s="731"/>
      <c r="JJ6" s="731"/>
      <c r="JK6" s="731"/>
      <c r="JL6" s="731"/>
      <c r="JM6" s="731"/>
      <c r="JN6" s="731"/>
      <c r="JO6" s="731"/>
      <c r="JP6" s="731"/>
      <c r="JQ6" s="731"/>
      <c r="JR6" s="731"/>
      <c r="JS6" s="731"/>
      <c r="JT6" s="731"/>
      <c r="JU6" s="731"/>
    </row>
    <row r="7" spans="1:281" ht="14.5" customHeight="1">
      <c r="A7" s="692" t="s">
        <v>110</v>
      </c>
      <c r="B7" s="692"/>
      <c r="C7" s="692"/>
      <c r="D7" s="692"/>
      <c r="E7" s="692"/>
      <c r="F7" s="692"/>
      <c r="K7" s="3"/>
      <c r="L7" s="315"/>
      <c r="M7" s="271"/>
      <c r="N7" s="271"/>
      <c r="O7" s="273"/>
      <c r="P7" s="273"/>
      <c r="Q7" s="273"/>
      <c r="R7" s="273"/>
      <c r="S7" s="271"/>
      <c r="T7" s="273"/>
      <c r="U7" s="273"/>
      <c r="V7" s="273"/>
      <c r="W7" s="271"/>
      <c r="X7" s="271"/>
      <c r="Y7" s="271"/>
      <c r="Z7" s="273"/>
      <c r="AA7" s="273"/>
      <c r="AB7" s="273"/>
      <c r="AC7" s="273"/>
      <c r="AD7" s="273"/>
      <c r="AE7" s="273"/>
      <c r="AF7" s="273"/>
      <c r="AG7" s="273"/>
      <c r="AH7" s="273"/>
      <c r="AI7" s="270"/>
      <c r="AJ7" s="273"/>
      <c r="AK7" s="270"/>
      <c r="AL7" s="273"/>
      <c r="AM7" s="271"/>
      <c r="AN7" s="271"/>
      <c r="AO7" s="89"/>
      <c r="BA7" s="283"/>
      <c r="BB7" s="271"/>
      <c r="BC7" s="240"/>
      <c r="BE7" s="283"/>
      <c r="BF7" s="271"/>
      <c r="BG7" s="240"/>
      <c r="BI7" s="283"/>
      <c r="BJ7" s="271"/>
      <c r="BK7" s="240"/>
      <c r="BM7" s="283"/>
      <c r="BN7" s="271"/>
      <c r="BO7" s="240"/>
      <c r="BQ7" s="283"/>
      <c r="BR7" s="271"/>
      <c r="BS7" s="240"/>
      <c r="BU7" s="283"/>
      <c r="BV7" s="271"/>
      <c r="BW7" s="240"/>
      <c r="BZ7" s="408"/>
      <c r="CB7" s="720"/>
      <c r="CC7" s="721"/>
      <c r="CD7" s="721"/>
      <c r="CE7" s="721"/>
      <c r="CF7" s="721"/>
      <c r="CG7" s="721"/>
      <c r="CH7" s="721"/>
      <c r="CI7" s="721"/>
      <c r="CJ7" s="722"/>
      <c r="EX7" s="346">
        <v>1990</v>
      </c>
      <c r="EY7" s="3">
        <v>1</v>
      </c>
      <c r="EZ7" s="3"/>
      <c r="FA7" s="3">
        <f>EY7</f>
        <v>1</v>
      </c>
      <c r="FB7" s="5">
        <v>0</v>
      </c>
      <c r="FC7" s="5">
        <v>0</v>
      </c>
      <c r="FD7" s="5">
        <v>0</v>
      </c>
      <c r="FE7" s="5">
        <v>0</v>
      </c>
      <c r="FF7" s="5">
        <v>0</v>
      </c>
      <c r="FG7" s="5">
        <v>0</v>
      </c>
      <c r="FH7" s="5">
        <v>0</v>
      </c>
      <c r="FI7" s="5">
        <v>0</v>
      </c>
      <c r="FJ7" s="5">
        <v>0</v>
      </c>
      <c r="FK7" s="108">
        <v>0</v>
      </c>
      <c r="FM7" s="346">
        <v>1990</v>
      </c>
      <c r="FN7" s="3">
        <v>1</v>
      </c>
      <c r="FO7" s="3"/>
      <c r="FP7" s="3">
        <f>FN7</f>
        <v>1</v>
      </c>
      <c r="FQ7" s="5">
        <v>0</v>
      </c>
      <c r="FR7" s="5">
        <v>0</v>
      </c>
      <c r="FS7" s="5">
        <v>0</v>
      </c>
      <c r="FT7" s="5">
        <v>0</v>
      </c>
      <c r="FU7" s="5">
        <v>0</v>
      </c>
      <c r="FV7" s="5">
        <v>0</v>
      </c>
      <c r="FW7" s="5">
        <v>0</v>
      </c>
      <c r="FX7" s="5">
        <v>0</v>
      </c>
      <c r="FY7" s="5">
        <v>0</v>
      </c>
      <c r="FZ7" s="108">
        <v>0</v>
      </c>
      <c r="GB7" s="346">
        <v>1990</v>
      </c>
      <c r="GC7" s="3">
        <v>1</v>
      </c>
      <c r="GD7" s="3"/>
      <c r="GE7" s="3">
        <f>GC7</f>
        <v>1</v>
      </c>
      <c r="GF7" s="5">
        <v>0</v>
      </c>
      <c r="GG7" s="5">
        <v>0</v>
      </c>
      <c r="GH7" s="5">
        <v>0</v>
      </c>
      <c r="GI7" s="5">
        <v>0</v>
      </c>
      <c r="GJ7" s="5">
        <v>0</v>
      </c>
      <c r="GK7" s="5">
        <v>0</v>
      </c>
      <c r="GL7" s="5">
        <v>0</v>
      </c>
      <c r="GM7" s="5">
        <v>0</v>
      </c>
      <c r="GN7" s="5">
        <v>0</v>
      </c>
      <c r="GO7" s="108">
        <v>0</v>
      </c>
      <c r="GQ7" s="346">
        <v>1990</v>
      </c>
      <c r="GR7" s="3">
        <v>1</v>
      </c>
      <c r="GS7" s="3"/>
      <c r="GT7" s="3">
        <f>GR7</f>
        <v>1</v>
      </c>
      <c r="GU7" s="5">
        <v>0</v>
      </c>
      <c r="GV7" s="5">
        <v>0</v>
      </c>
      <c r="GW7" s="5">
        <v>0</v>
      </c>
      <c r="GX7" s="5">
        <v>0</v>
      </c>
      <c r="GY7" s="5">
        <v>0</v>
      </c>
      <c r="GZ7" s="5">
        <v>0</v>
      </c>
      <c r="HA7" s="5">
        <v>0</v>
      </c>
      <c r="HB7" s="5">
        <v>0</v>
      </c>
      <c r="HC7" s="5">
        <v>0</v>
      </c>
      <c r="HD7" s="108">
        <v>0</v>
      </c>
      <c r="HF7" s="346">
        <v>1990</v>
      </c>
      <c r="HG7" s="3">
        <v>1</v>
      </c>
      <c r="HH7" s="3"/>
      <c r="HI7" s="3">
        <f>HG7</f>
        <v>1</v>
      </c>
      <c r="HJ7" s="5">
        <v>0</v>
      </c>
      <c r="HK7" s="5">
        <v>0</v>
      </c>
      <c r="HL7" s="5">
        <v>0</v>
      </c>
      <c r="HM7" s="5">
        <v>0</v>
      </c>
      <c r="HN7" s="5">
        <v>0</v>
      </c>
      <c r="HO7" s="5">
        <v>0</v>
      </c>
      <c r="HP7" s="5">
        <v>0</v>
      </c>
      <c r="HQ7" s="5">
        <v>0</v>
      </c>
      <c r="HR7" s="5">
        <v>0</v>
      </c>
      <c r="HS7" s="108">
        <v>0</v>
      </c>
      <c r="HU7" s="346">
        <v>1990</v>
      </c>
      <c r="HV7" s="3">
        <v>1</v>
      </c>
      <c r="HW7" s="3"/>
      <c r="HX7" s="3">
        <f>HV7</f>
        <v>1</v>
      </c>
      <c r="HY7" s="5">
        <v>0</v>
      </c>
      <c r="HZ7" s="5">
        <v>0</v>
      </c>
      <c r="IA7" s="5">
        <v>0</v>
      </c>
      <c r="IB7" s="5">
        <v>0</v>
      </c>
      <c r="IC7" s="5">
        <v>0</v>
      </c>
      <c r="ID7" s="5">
        <v>0</v>
      </c>
      <c r="IE7" s="5">
        <v>0</v>
      </c>
      <c r="IF7" s="5">
        <v>0</v>
      </c>
      <c r="IG7" s="5">
        <v>0</v>
      </c>
      <c r="IH7" s="108">
        <v>0</v>
      </c>
      <c r="IJ7" s="346">
        <v>1990</v>
      </c>
      <c r="IK7" s="3">
        <v>1</v>
      </c>
      <c r="IL7" s="3"/>
      <c r="IM7" s="3">
        <f>IK7</f>
        <v>1</v>
      </c>
      <c r="IN7" s="5">
        <v>0</v>
      </c>
      <c r="IO7" s="5">
        <v>0</v>
      </c>
      <c r="IP7" s="5">
        <v>0</v>
      </c>
      <c r="IQ7" s="5">
        <v>0</v>
      </c>
      <c r="IR7" s="5">
        <v>0</v>
      </c>
      <c r="IS7" s="5">
        <v>0</v>
      </c>
      <c r="IT7" s="5">
        <v>0</v>
      </c>
      <c r="IU7" s="5">
        <v>0</v>
      </c>
      <c r="IV7" s="5">
        <v>0</v>
      </c>
      <c r="IW7" s="108">
        <v>0</v>
      </c>
      <c r="IX7" s="5"/>
      <c r="JA7" s="149"/>
      <c r="JB7" s="706" t="s">
        <v>290</v>
      </c>
      <c r="JC7" s="357"/>
      <c r="JD7" s="706" t="s">
        <v>288</v>
      </c>
      <c r="JE7" s="733" t="str">
        <f>FM122</f>
        <v xml:space="preserve">Fit for 55' and Green Deal target </v>
      </c>
      <c r="JF7" s="688" t="s">
        <v>289</v>
      </c>
      <c r="JG7" s="688"/>
      <c r="JH7" s="358"/>
      <c r="JI7" s="359"/>
      <c r="JJ7" s="364"/>
      <c r="JK7" s="364"/>
      <c r="JL7" s="359"/>
      <c r="JM7" s="359"/>
      <c r="JN7" s="364"/>
      <c r="JO7" s="364"/>
      <c r="JP7" s="359"/>
      <c r="JQ7" s="359"/>
      <c r="JR7" s="364"/>
      <c r="JS7" s="364"/>
      <c r="JT7" s="359"/>
      <c r="JU7" s="359"/>
    </row>
    <row r="8" spans="1:281">
      <c r="A8" s="260" t="s">
        <v>109</v>
      </c>
      <c r="B8" s="247"/>
      <c r="C8" s="247"/>
      <c r="D8" s="247"/>
      <c r="E8" s="247"/>
      <c r="F8" s="247"/>
      <c r="K8" s="3"/>
      <c r="L8" s="315"/>
      <c r="M8" s="271"/>
      <c r="N8" s="271"/>
      <c r="O8" s="273"/>
      <c r="P8" s="273"/>
      <c r="Q8" s="273"/>
      <c r="R8" s="273"/>
      <c r="S8" s="271"/>
      <c r="T8" s="273"/>
      <c r="U8" s="273"/>
      <c r="V8" s="273"/>
      <c r="W8" s="271"/>
      <c r="X8" s="271"/>
      <c r="Y8" s="271"/>
      <c r="Z8" s="273"/>
      <c r="AA8" s="273"/>
      <c r="AB8" s="273"/>
      <c r="AC8" s="273"/>
      <c r="AD8" s="273"/>
      <c r="AE8" s="273"/>
      <c r="AF8" s="273"/>
      <c r="AG8" s="273"/>
      <c r="AH8" s="273"/>
      <c r="AI8" s="270"/>
      <c r="AJ8" s="273"/>
      <c r="AK8" s="270"/>
      <c r="AL8" s="273"/>
      <c r="AM8" s="271"/>
      <c r="AN8" s="271"/>
      <c r="AO8" s="89"/>
      <c r="BA8" s="283"/>
      <c r="BB8" s="271"/>
      <c r="BC8" s="240"/>
      <c r="BE8" s="283"/>
      <c r="BF8" s="271"/>
      <c r="BG8" s="240"/>
      <c r="BI8" s="283"/>
      <c r="BJ8" s="271"/>
      <c r="BK8" s="240"/>
      <c r="BM8" s="283"/>
      <c r="BN8" s="271"/>
      <c r="BO8" s="240"/>
      <c r="BQ8" s="283"/>
      <c r="BR8" s="271"/>
      <c r="BS8" s="240"/>
      <c r="BU8" s="283"/>
      <c r="BV8" s="271"/>
      <c r="BW8" s="240"/>
      <c r="BZ8" s="408"/>
      <c r="CB8" s="720"/>
      <c r="CC8" s="721"/>
      <c r="CD8" s="721"/>
      <c r="CE8" s="721"/>
      <c r="CF8" s="721"/>
      <c r="CG8" s="721"/>
      <c r="CH8" s="721"/>
      <c r="CI8" s="721"/>
      <c r="CJ8" s="722"/>
      <c r="EX8" s="89">
        <v>2000</v>
      </c>
      <c r="EY8" s="5">
        <f>$A$3/3+EY$7</f>
        <v>0.98333333333333328</v>
      </c>
      <c r="EZ8" s="5"/>
      <c r="FA8" s="3">
        <f>EY8</f>
        <v>0.98333333333333328</v>
      </c>
      <c r="FB8" s="5">
        <v>0</v>
      </c>
      <c r="FC8" s="5">
        <v>0</v>
      </c>
      <c r="FD8" s="5">
        <v>0</v>
      </c>
      <c r="FE8" s="5">
        <v>0</v>
      </c>
      <c r="FF8" s="5">
        <v>0</v>
      </c>
      <c r="FG8" s="5">
        <v>0</v>
      </c>
      <c r="FH8" s="5">
        <v>0</v>
      </c>
      <c r="FI8" s="5">
        <v>0</v>
      </c>
      <c r="FJ8" s="5">
        <v>0</v>
      </c>
      <c r="FK8" s="108">
        <v>0</v>
      </c>
      <c r="FM8" s="89">
        <v>2000</v>
      </c>
      <c r="FN8" s="5">
        <f>$A$3/3+FN$7</f>
        <v>0.98333333333333328</v>
      </c>
      <c r="FO8" s="5"/>
      <c r="FP8" s="3">
        <f>FN8</f>
        <v>0.98333333333333328</v>
      </c>
      <c r="FQ8" s="5">
        <v>0</v>
      </c>
      <c r="FR8" s="5">
        <v>0</v>
      </c>
      <c r="FS8" s="5">
        <v>0</v>
      </c>
      <c r="FT8" s="5">
        <v>0</v>
      </c>
      <c r="FU8" s="5">
        <v>0</v>
      </c>
      <c r="FV8" s="5">
        <v>0</v>
      </c>
      <c r="FW8" s="5">
        <v>0</v>
      </c>
      <c r="FX8" s="5">
        <v>0</v>
      </c>
      <c r="FY8" s="5">
        <v>0</v>
      </c>
      <c r="FZ8" s="108">
        <v>0</v>
      </c>
      <c r="GB8" s="89">
        <v>2000</v>
      </c>
      <c r="GC8" s="5">
        <f>$A$3/3+GC$7</f>
        <v>0.98333333333333328</v>
      </c>
      <c r="GD8" s="5"/>
      <c r="GE8" s="3">
        <f>GC8</f>
        <v>0.98333333333333328</v>
      </c>
      <c r="GF8" s="5">
        <v>0</v>
      </c>
      <c r="GG8" s="5">
        <v>0</v>
      </c>
      <c r="GH8" s="5">
        <v>0</v>
      </c>
      <c r="GI8" s="5">
        <v>0</v>
      </c>
      <c r="GJ8" s="5">
        <v>0</v>
      </c>
      <c r="GK8" s="5">
        <v>0</v>
      </c>
      <c r="GL8" s="5">
        <v>0</v>
      </c>
      <c r="GM8" s="5">
        <v>0</v>
      </c>
      <c r="GN8" s="5">
        <v>0</v>
      </c>
      <c r="GO8" s="108">
        <v>0</v>
      </c>
      <c r="GQ8" s="89">
        <v>2000</v>
      </c>
      <c r="GR8" s="5">
        <f>$A$3/3+GR$7</f>
        <v>0.98333333333333328</v>
      </c>
      <c r="GS8" s="5"/>
      <c r="GT8" s="3">
        <f>GR8</f>
        <v>0.98333333333333328</v>
      </c>
      <c r="GU8" s="5">
        <v>0</v>
      </c>
      <c r="GV8" s="5">
        <v>0</v>
      </c>
      <c r="GW8" s="5">
        <v>0</v>
      </c>
      <c r="GX8" s="5">
        <v>0</v>
      </c>
      <c r="GY8" s="5">
        <v>0</v>
      </c>
      <c r="GZ8" s="5">
        <v>0</v>
      </c>
      <c r="HA8" s="5">
        <v>0</v>
      </c>
      <c r="HB8" s="5">
        <v>0</v>
      </c>
      <c r="HC8" s="5">
        <v>0</v>
      </c>
      <c r="HD8" s="108">
        <v>0</v>
      </c>
      <c r="HF8" s="89">
        <v>2000</v>
      </c>
      <c r="HG8" s="5">
        <f>$A$3/3+HG$7</f>
        <v>0.98333333333333328</v>
      </c>
      <c r="HH8" s="5"/>
      <c r="HI8" s="3">
        <f>HG8</f>
        <v>0.98333333333333328</v>
      </c>
      <c r="HJ8" s="5">
        <v>0</v>
      </c>
      <c r="HK8" s="5">
        <v>0</v>
      </c>
      <c r="HL8" s="5">
        <v>0</v>
      </c>
      <c r="HM8" s="5">
        <v>0</v>
      </c>
      <c r="HN8" s="5">
        <v>0</v>
      </c>
      <c r="HO8" s="5">
        <v>0</v>
      </c>
      <c r="HP8" s="5">
        <v>0</v>
      </c>
      <c r="HQ8" s="5">
        <v>0</v>
      </c>
      <c r="HR8" s="5">
        <v>0</v>
      </c>
      <c r="HS8" s="108">
        <v>0</v>
      </c>
      <c r="HU8" s="89">
        <v>2000</v>
      </c>
      <c r="HV8" s="5">
        <f>$A$3/3+HV$7</f>
        <v>0.98333333333333328</v>
      </c>
      <c r="HW8" s="5"/>
      <c r="HX8" s="3">
        <f>HV8</f>
        <v>0.98333333333333328</v>
      </c>
      <c r="HY8" s="5">
        <v>0</v>
      </c>
      <c r="HZ8" s="5">
        <v>0</v>
      </c>
      <c r="IA8" s="5">
        <v>0</v>
      </c>
      <c r="IB8" s="5">
        <v>0</v>
      </c>
      <c r="IC8" s="5">
        <v>0</v>
      </c>
      <c r="ID8" s="5">
        <v>0</v>
      </c>
      <c r="IE8" s="5">
        <v>0</v>
      </c>
      <c r="IF8" s="5">
        <v>0</v>
      </c>
      <c r="IG8" s="5">
        <v>0</v>
      </c>
      <c r="IH8" s="108">
        <v>0</v>
      </c>
      <c r="IJ8" s="89">
        <v>2000</v>
      </c>
      <c r="IK8" s="5">
        <f>$A$3/3+IK$7</f>
        <v>0.98333333333333328</v>
      </c>
      <c r="IL8" s="5"/>
      <c r="IM8" s="3">
        <f>IK8</f>
        <v>0.98333333333333328</v>
      </c>
      <c r="IN8" s="5">
        <v>0</v>
      </c>
      <c r="IO8" s="5">
        <v>0</v>
      </c>
      <c r="IP8" s="5">
        <v>0</v>
      </c>
      <c r="IQ8" s="5">
        <v>0</v>
      </c>
      <c r="IR8" s="5">
        <v>0</v>
      </c>
      <c r="IS8" s="5">
        <v>0</v>
      </c>
      <c r="IT8" s="5">
        <v>0</v>
      </c>
      <c r="IU8" s="5">
        <v>0</v>
      </c>
      <c r="IV8" s="5">
        <v>0</v>
      </c>
      <c r="IW8" s="108">
        <v>0</v>
      </c>
      <c r="IX8" s="5"/>
      <c r="JA8" s="149"/>
      <c r="JB8" s="706"/>
      <c r="JC8" s="357"/>
      <c r="JD8" s="706"/>
      <c r="JE8" s="733"/>
      <c r="JF8" s="688"/>
      <c r="JG8" s="688"/>
      <c r="JH8" s="358"/>
      <c r="JI8" s="402">
        <v>1</v>
      </c>
      <c r="JJ8" s="403"/>
      <c r="JK8" s="403">
        <v>0.8</v>
      </c>
      <c r="JL8" s="402"/>
      <c r="JM8" s="402">
        <v>0.6</v>
      </c>
      <c r="JN8" s="403"/>
      <c r="JO8" s="403">
        <v>0.4</v>
      </c>
      <c r="JP8" s="402"/>
      <c r="JQ8" s="402">
        <v>0.2</v>
      </c>
      <c r="JR8" s="403"/>
      <c r="JS8" s="403">
        <v>0.1</v>
      </c>
      <c r="JT8" s="402"/>
      <c r="JU8" s="402">
        <v>0</v>
      </c>
    </row>
    <row r="9" spans="1:281" ht="14.5" customHeight="1">
      <c r="A9" s="259">
        <f>'1 StrategyMix for CarbonTargets'!V12</f>
        <v>0.5</v>
      </c>
      <c r="B9" s="247"/>
      <c r="C9" s="247"/>
      <c r="D9" s="247"/>
      <c r="E9" s="247"/>
      <c r="F9" s="247"/>
      <c r="J9" s="316">
        <v>2050</v>
      </c>
      <c r="K9" s="317">
        <v>1</v>
      </c>
      <c r="L9" s="317">
        <f>-H3</f>
        <v>-0.05</v>
      </c>
      <c r="M9" s="317">
        <f>A6</f>
        <v>0.2</v>
      </c>
      <c r="N9" s="317"/>
      <c r="O9" s="319">
        <f>AP40*(1+$M$9)</f>
        <v>-3.4559999999999987E-2</v>
      </c>
      <c r="P9" s="319">
        <f>AQ40*(1+$M$9)</f>
        <v>-8.4000000000000047E-3</v>
      </c>
      <c r="Q9" s="319">
        <f>AR40*(1+$M$9)</f>
        <v>-2.6999999999999993E-2</v>
      </c>
      <c r="R9" s="319">
        <f>AS40*(1+$M$9)</f>
        <v>-8.0999999999999975E-2</v>
      </c>
      <c r="S9" s="318"/>
      <c r="T9" s="319">
        <f>AU40*(1+$M$9)</f>
        <v>-6.0437956204379542E-2</v>
      </c>
      <c r="U9" s="319">
        <f>AV40*(1+$M$9)</f>
        <v>-0.12525547445255483</v>
      </c>
      <c r="V9" s="319">
        <f>AW40*(1+$M$9)</f>
        <v>-0.29430656934306587</v>
      </c>
      <c r="W9" s="318"/>
      <c r="X9" s="397">
        <f>BX40*(1+$M$9)</f>
        <v>-2.0361600000000001E-2</v>
      </c>
      <c r="Y9" s="397">
        <f>BY40*(1+$M$9)</f>
        <v>-0.37242959916521745</v>
      </c>
      <c r="Z9" s="319">
        <f>AY40*(1+$M$9)</f>
        <v>-0.10180799999999997</v>
      </c>
      <c r="AA9" s="319">
        <f>AZ40*(1+$M$9)</f>
        <v>1.0180799999999995E-2</v>
      </c>
      <c r="AB9" s="319">
        <f>BC40*(1+$M$9)</f>
        <v>-4.6553699895652147E-2</v>
      </c>
      <c r="AC9" s="319">
        <f>BD40*(1+$M$9)</f>
        <v>1.0180799999999995E-2</v>
      </c>
      <c r="AD9" s="319">
        <f>BG40*(1+$M$9)</f>
        <v>-4.6553699895652195E-2</v>
      </c>
      <c r="AE9" s="319">
        <f>BH40*(1+$M$9)</f>
        <v>2.036159999999999E-2</v>
      </c>
      <c r="AF9" s="319">
        <f>BK40*(1+$M$9)</f>
        <v>-9.3107399791304377E-2</v>
      </c>
      <c r="AG9" s="319">
        <f>BL40*(1+$M$9)</f>
        <v>2.036159999999999E-2</v>
      </c>
      <c r="AH9" s="319">
        <f>BO40*(1+$M$9)</f>
        <v>-9.3107399791304321E-2</v>
      </c>
      <c r="AI9" s="320">
        <f>BP40*(1+$M$9)</f>
        <v>2.036159999999999E-2</v>
      </c>
      <c r="AJ9" s="319">
        <f>BS40*(1+$M$9)</f>
        <v>-9.310739979130439E-2</v>
      </c>
      <c r="AK9" s="320">
        <f>BT40*(1+$M$9)</f>
        <v>2.036159999999999E-2</v>
      </c>
      <c r="AL9" s="321">
        <f>BW40*(1+$M$9)</f>
        <v>-9.3107399791304321E-2</v>
      </c>
      <c r="AM9" s="321">
        <f>BX40*(1+$M$9)</f>
        <v>-2.0361600000000001E-2</v>
      </c>
      <c r="AN9" s="321">
        <f>BY40*(1+$M$9)</f>
        <v>-0.37242959916521745</v>
      </c>
      <c r="AO9" s="326" t="s">
        <v>170</v>
      </c>
      <c r="AP9" s="322">
        <f>'2 Stress Test Strategy Mix'!$P$24</f>
        <v>2050</v>
      </c>
      <c r="AQ9" s="322">
        <f>'2 Stress Test Strategy Mix'!$P$24</f>
        <v>2050</v>
      </c>
      <c r="AR9" s="322">
        <f>'2 Stress Test Strategy Mix'!$P$24</f>
        <v>2050</v>
      </c>
      <c r="AS9" s="322">
        <f>'1 StrategyMix for CarbonTargets'!Z25</f>
        <v>2050</v>
      </c>
      <c r="AT9" s="322"/>
      <c r="AU9" s="322">
        <f>'1 StrategyMix for CarbonTargets'!Z29</f>
        <v>2050</v>
      </c>
      <c r="AV9" s="322">
        <f>'1 StrategyMix for CarbonTargets'!Z31</f>
        <v>2050</v>
      </c>
      <c r="AW9" s="322">
        <f>'1 StrategyMix for CarbonTargets'!Z33</f>
        <v>2050</v>
      </c>
      <c r="AX9" s="322"/>
      <c r="AY9" s="322">
        <f>'1 StrategyMix for CarbonTargets'!Z40</f>
        <v>2037</v>
      </c>
      <c r="AZ9" s="318">
        <f>'2 Stress Test Strategy Mix'!$P$18</f>
        <v>2040</v>
      </c>
      <c r="BA9" s="323">
        <f>'2 Stress Test Strategy Mix'!$P$12</f>
        <v>2050</v>
      </c>
      <c r="BB9" s="318">
        <f>'2 Stress Test Strategy Mix'!$P$18</f>
        <v>2040</v>
      </c>
      <c r="BC9" s="324"/>
      <c r="BD9" s="318">
        <f>'2 Stress Test Strategy Mix'!$P$18</f>
        <v>2040</v>
      </c>
      <c r="BE9" s="323">
        <f>'2 Stress Test Strategy Mix'!$P$12</f>
        <v>2050</v>
      </c>
      <c r="BF9" s="318">
        <f>'2 Stress Test Strategy Mix'!$P$18</f>
        <v>2040</v>
      </c>
      <c r="BG9" s="324"/>
      <c r="BH9" s="318">
        <f>'2 Stress Test Strategy Mix'!$P$18</f>
        <v>2040</v>
      </c>
      <c r="BI9" s="323">
        <f>'2 Stress Test Strategy Mix'!$P$12</f>
        <v>2050</v>
      </c>
      <c r="BJ9" s="318">
        <f>'2 Stress Test Strategy Mix'!$P$18</f>
        <v>2040</v>
      </c>
      <c r="BK9" s="324"/>
      <c r="BL9" s="318">
        <f>'2 Stress Test Strategy Mix'!$P$18</f>
        <v>2040</v>
      </c>
      <c r="BM9" s="323">
        <f>'2 Stress Test Strategy Mix'!$P$12</f>
        <v>2050</v>
      </c>
      <c r="BN9" s="318">
        <f>'2 Stress Test Strategy Mix'!$P$18</f>
        <v>2040</v>
      </c>
      <c r="BO9" s="324"/>
      <c r="BP9" s="318">
        <f>'2 Stress Test Strategy Mix'!$P$18</f>
        <v>2040</v>
      </c>
      <c r="BQ9" s="323">
        <f>'2 Stress Test Strategy Mix'!$P$12</f>
        <v>2050</v>
      </c>
      <c r="BR9" s="318">
        <f>'2 Stress Test Strategy Mix'!$P$18</f>
        <v>2040</v>
      </c>
      <c r="BS9" s="324"/>
      <c r="BT9" s="318">
        <f>'2 Stress Test Strategy Mix'!$P$18</f>
        <v>2040</v>
      </c>
      <c r="BU9" s="323">
        <f>'2 Stress Test Strategy Mix'!$P$12</f>
        <v>2050</v>
      </c>
      <c r="BV9" s="318">
        <f>'2 Stress Test Strategy Mix'!$P$18</f>
        <v>2040</v>
      </c>
      <c r="BW9" s="324"/>
      <c r="BZ9" s="408">
        <f>'2 Stress Test Strategy Mix'!$P$18</f>
        <v>2040</v>
      </c>
      <c r="CB9" s="720"/>
      <c r="CC9" s="721"/>
      <c r="CD9" s="721"/>
      <c r="CE9" s="721"/>
      <c r="CF9" s="721"/>
      <c r="CG9" s="721"/>
      <c r="CH9" s="721"/>
      <c r="CI9" s="721"/>
      <c r="CJ9" s="722"/>
      <c r="CL9" s="695" t="s">
        <v>120</v>
      </c>
      <c r="CM9" s="695"/>
      <c r="CN9" s="695"/>
      <c r="CO9" s="695"/>
      <c r="CP9" s="695"/>
      <c r="CQ9" s="695"/>
      <c r="CR9" s="691"/>
      <c r="CS9" s="691"/>
      <c r="CT9" s="691"/>
      <c r="CU9" s="707" t="s">
        <v>159</v>
      </c>
      <c r="CV9" s="707"/>
      <c r="CW9" s="707"/>
      <c r="CX9" s="707"/>
      <c r="CY9" s="707"/>
      <c r="CZ9" s="707"/>
      <c r="DA9" s="707"/>
      <c r="DB9" s="707"/>
      <c r="DC9" s="707"/>
      <c r="DD9" s="707"/>
      <c r="DE9" s="707"/>
      <c r="DF9" s="707"/>
      <c r="DG9" s="707"/>
      <c r="EX9" s="346">
        <v>2010</v>
      </c>
      <c r="EY9" s="5">
        <f>$A$3/3+EY$8</f>
        <v>0.96666666666666656</v>
      </c>
      <c r="EZ9" s="5"/>
      <c r="FA9" s="3">
        <f>EY9</f>
        <v>0.96666666666666656</v>
      </c>
      <c r="FB9" s="5">
        <v>0</v>
      </c>
      <c r="FC9" s="5">
        <v>0</v>
      </c>
      <c r="FD9" s="5">
        <v>0</v>
      </c>
      <c r="FE9" s="5">
        <v>0</v>
      </c>
      <c r="FF9" s="5">
        <v>0</v>
      </c>
      <c r="FG9" s="5">
        <v>0</v>
      </c>
      <c r="FH9" s="5">
        <v>0</v>
      </c>
      <c r="FI9" s="5">
        <v>0</v>
      </c>
      <c r="FJ9" s="5">
        <v>0</v>
      </c>
      <c r="FK9" s="108">
        <v>0</v>
      </c>
      <c r="FL9" s="2"/>
      <c r="FM9" s="346">
        <v>2010</v>
      </c>
      <c r="FN9" s="5">
        <f>$A$3/3+FN$8</f>
        <v>0.96666666666666656</v>
      </c>
      <c r="FO9" s="5"/>
      <c r="FP9" s="3">
        <f>FN9</f>
        <v>0.96666666666666656</v>
      </c>
      <c r="FQ9" s="5">
        <v>0</v>
      </c>
      <c r="FR9" s="5">
        <v>0</v>
      </c>
      <c r="FS9" s="5">
        <v>0</v>
      </c>
      <c r="FT9" s="5">
        <v>0</v>
      </c>
      <c r="FU9" s="5">
        <v>0</v>
      </c>
      <c r="FV9" s="5">
        <v>0</v>
      </c>
      <c r="FW9" s="5">
        <v>0</v>
      </c>
      <c r="FX9" s="5">
        <v>0</v>
      </c>
      <c r="FY9" s="5">
        <v>0</v>
      </c>
      <c r="FZ9" s="108">
        <v>0</v>
      </c>
      <c r="GA9" s="2"/>
      <c r="GB9" s="346">
        <v>2010</v>
      </c>
      <c r="GC9" s="5">
        <f>$A$3/3+GC$8</f>
        <v>0.96666666666666656</v>
      </c>
      <c r="GD9" s="5"/>
      <c r="GE9" s="3">
        <f>GC9</f>
        <v>0.96666666666666656</v>
      </c>
      <c r="GF9" s="5">
        <v>0</v>
      </c>
      <c r="GG9" s="5">
        <v>0</v>
      </c>
      <c r="GH9" s="5">
        <v>0</v>
      </c>
      <c r="GI9" s="5">
        <v>0</v>
      </c>
      <c r="GJ9" s="5">
        <v>0</v>
      </c>
      <c r="GK9" s="5">
        <v>0</v>
      </c>
      <c r="GL9" s="5">
        <v>0</v>
      </c>
      <c r="GM9" s="5">
        <v>0</v>
      </c>
      <c r="GN9" s="5">
        <v>0</v>
      </c>
      <c r="GO9" s="108">
        <v>0</v>
      </c>
      <c r="GP9" s="2"/>
      <c r="GQ9" s="346">
        <v>2010</v>
      </c>
      <c r="GR9" s="5">
        <f>$A$3/3+GR$8</f>
        <v>0.96666666666666656</v>
      </c>
      <c r="GS9" s="5"/>
      <c r="GT9" s="3">
        <f>GR9</f>
        <v>0.96666666666666656</v>
      </c>
      <c r="GU9" s="5">
        <v>0</v>
      </c>
      <c r="GV9" s="5">
        <v>0</v>
      </c>
      <c r="GW9" s="5">
        <v>0</v>
      </c>
      <c r="GX9" s="5">
        <v>0</v>
      </c>
      <c r="GY9" s="5">
        <v>0</v>
      </c>
      <c r="GZ9" s="5">
        <v>0</v>
      </c>
      <c r="HA9" s="5">
        <v>0</v>
      </c>
      <c r="HB9" s="5">
        <v>0</v>
      </c>
      <c r="HC9" s="5">
        <v>0</v>
      </c>
      <c r="HD9" s="108">
        <v>0</v>
      </c>
      <c r="HE9" s="2"/>
      <c r="HF9" s="346">
        <v>2010</v>
      </c>
      <c r="HG9" s="5">
        <f>$A$3/3+HG$8</f>
        <v>0.96666666666666656</v>
      </c>
      <c r="HH9" s="5"/>
      <c r="HI9" s="3">
        <f>HG9</f>
        <v>0.96666666666666656</v>
      </c>
      <c r="HJ9" s="5">
        <v>0</v>
      </c>
      <c r="HK9" s="5">
        <v>0</v>
      </c>
      <c r="HL9" s="5">
        <v>0</v>
      </c>
      <c r="HM9" s="5">
        <v>0</v>
      </c>
      <c r="HN9" s="5">
        <v>0</v>
      </c>
      <c r="HO9" s="5">
        <v>0</v>
      </c>
      <c r="HP9" s="5">
        <v>0</v>
      </c>
      <c r="HQ9" s="5">
        <v>0</v>
      </c>
      <c r="HR9" s="5">
        <v>0</v>
      </c>
      <c r="HS9" s="108">
        <v>0</v>
      </c>
      <c r="HT9" s="2"/>
      <c r="HU9" s="346">
        <v>2010</v>
      </c>
      <c r="HV9" s="5">
        <f>$A$3/3+HV$8</f>
        <v>0.96666666666666656</v>
      </c>
      <c r="HW9" s="5"/>
      <c r="HX9" s="3">
        <f>HV9</f>
        <v>0.96666666666666656</v>
      </c>
      <c r="HY9" s="5">
        <v>0</v>
      </c>
      <c r="HZ9" s="5">
        <v>0</v>
      </c>
      <c r="IA9" s="5">
        <v>0</v>
      </c>
      <c r="IB9" s="5">
        <v>0</v>
      </c>
      <c r="IC9" s="5">
        <v>0</v>
      </c>
      <c r="ID9" s="5">
        <v>0</v>
      </c>
      <c r="IE9" s="5">
        <v>0</v>
      </c>
      <c r="IF9" s="5">
        <v>0</v>
      </c>
      <c r="IG9" s="5">
        <v>0</v>
      </c>
      <c r="IH9" s="108">
        <v>0</v>
      </c>
      <c r="II9" s="2"/>
      <c r="IJ9" s="346">
        <v>2010</v>
      </c>
      <c r="IK9" s="5">
        <f>$A$3/3+IK$8</f>
        <v>0.96666666666666656</v>
      </c>
      <c r="IL9" s="5"/>
      <c r="IM9" s="3">
        <f>IK9</f>
        <v>0.96666666666666656</v>
      </c>
      <c r="IN9" s="5">
        <v>0</v>
      </c>
      <c r="IO9" s="5">
        <v>0</v>
      </c>
      <c r="IP9" s="5">
        <v>0</v>
      </c>
      <c r="IQ9" s="5">
        <v>0</v>
      </c>
      <c r="IR9" s="5">
        <v>0</v>
      </c>
      <c r="IS9" s="5">
        <v>0</v>
      </c>
      <c r="IT9" s="5">
        <v>0</v>
      </c>
      <c r="IU9" s="5">
        <v>0</v>
      </c>
      <c r="IV9" s="5">
        <v>0</v>
      </c>
      <c r="IW9" s="108">
        <v>0</v>
      </c>
      <c r="IX9" s="5"/>
      <c r="IZ9" t="s">
        <v>257</v>
      </c>
      <c r="JA9" s="149"/>
      <c r="JB9" s="706"/>
      <c r="JC9" s="357"/>
      <c r="JD9" s="706"/>
      <c r="JE9" s="733"/>
      <c r="JF9" s="688"/>
      <c r="JG9" s="688"/>
      <c r="JH9" s="358"/>
      <c r="JI9" s="359"/>
      <c r="JJ9" s="364"/>
      <c r="JK9" s="364"/>
      <c r="JL9" s="359"/>
      <c r="JM9" s="359"/>
      <c r="JN9" s="364"/>
      <c r="JO9" s="364"/>
      <c r="JP9" s="359"/>
      <c r="JQ9" s="359"/>
      <c r="JR9" s="364"/>
      <c r="JS9" s="364"/>
      <c r="JT9" s="359"/>
      <c r="JU9" s="359"/>
    </row>
    <row r="10" spans="1:281" ht="58.5" thickBot="1">
      <c r="A10" s="248" t="s">
        <v>108</v>
      </c>
      <c r="B10" s="247"/>
      <c r="C10" s="247"/>
      <c r="D10" s="247"/>
      <c r="E10" s="247"/>
      <c r="F10" s="247"/>
      <c r="J10" s="1" t="s">
        <v>303</v>
      </c>
      <c r="K10" s="374">
        <f>IF($AL22=1,K6,K9)</f>
        <v>1</v>
      </c>
      <c r="L10" s="65">
        <f>-H3</f>
        <v>-0.05</v>
      </c>
      <c r="M10" s="65">
        <f>(A6/30)*10</f>
        <v>6.6666666666666666E-2</v>
      </c>
      <c r="N10" s="65"/>
      <c r="O10" s="319">
        <f>AP94*(1+$M$6)</f>
        <v>0</v>
      </c>
      <c r="P10" s="319">
        <f>AQ94*(1+$M$6)</f>
        <v>0</v>
      </c>
      <c r="Q10" s="319">
        <f>AR94*(1+$M$6)</f>
        <v>0</v>
      </c>
      <c r="R10" s="319">
        <f>AS94*(1+$M$6)</f>
        <v>0</v>
      </c>
      <c r="S10" s="318"/>
      <c r="T10" s="319">
        <f>AU94*(1+$M$6)</f>
        <v>0</v>
      </c>
      <c r="U10" s="319">
        <f>AV94*(1+$M$6)</f>
        <v>0</v>
      </c>
      <c r="V10" s="319">
        <f>AW94*(1+$M$6)</f>
        <v>0</v>
      </c>
      <c r="W10" s="318"/>
      <c r="X10" s="397">
        <f>BX94*(1+$M$6)</f>
        <v>0</v>
      </c>
      <c r="Y10" s="397">
        <f>BY94*(1+$M$6)</f>
        <v>0</v>
      </c>
      <c r="Z10" s="319">
        <f>AY94*(1+$M$6)</f>
        <v>0</v>
      </c>
      <c r="AA10" s="319">
        <f>AZ94*(1+$M$6)</f>
        <v>0</v>
      </c>
      <c r="AB10" s="319">
        <f>BC94*(1+$M$6)</f>
        <v>0</v>
      </c>
      <c r="AC10" s="319">
        <f>BD94*(1+$M$6)</f>
        <v>0</v>
      </c>
      <c r="AD10" s="319">
        <f>BG94*(1+$M$6)</f>
        <v>0</v>
      </c>
      <c r="AE10" s="319">
        <f>BH94*(1+$M$6)</f>
        <v>0</v>
      </c>
      <c r="AF10" s="319">
        <f>BK94*(1+$M$6)</f>
        <v>0</v>
      </c>
      <c r="AG10" s="319">
        <f>BL94*(1+$M$6)</f>
        <v>0</v>
      </c>
      <c r="AH10" s="319">
        <f>BO94*(1+$M$6)</f>
        <v>0</v>
      </c>
      <c r="AI10" s="320">
        <f>BP94*(1+$M$6)</f>
        <v>0</v>
      </c>
      <c r="AJ10" s="319">
        <f>BS94*(1+$M$6)</f>
        <v>0</v>
      </c>
      <c r="AK10" s="320">
        <f>BT94*(1+$M$6)</f>
        <v>0</v>
      </c>
      <c r="AL10" s="321">
        <f>BW94*(1+$M$6)</f>
        <v>0</v>
      </c>
      <c r="AM10" s="321">
        <f>BX94*(1+$M$6)</f>
        <v>0</v>
      </c>
      <c r="AN10" s="321">
        <f>BY94*(1+$M$6)</f>
        <v>0</v>
      </c>
      <c r="AO10" s="326"/>
      <c r="AP10" s="322"/>
      <c r="AQ10" s="322"/>
      <c r="AR10" s="322"/>
      <c r="AS10" s="322"/>
      <c r="AT10" s="322"/>
      <c r="AU10" s="322"/>
      <c r="AV10" s="322"/>
      <c r="AW10" s="322"/>
      <c r="AX10" s="322"/>
      <c r="AY10" s="322"/>
      <c r="AZ10" s="322"/>
      <c r="BA10" s="323"/>
      <c r="BB10" s="318"/>
      <c r="BC10" s="324"/>
      <c r="BD10" s="322"/>
      <c r="BE10" s="323"/>
      <c r="BF10" s="318"/>
      <c r="BG10" s="324"/>
      <c r="BH10" s="322"/>
      <c r="BI10" s="323"/>
      <c r="BJ10" s="318"/>
      <c r="BK10" s="324"/>
      <c r="BL10" s="322"/>
      <c r="BM10" s="323"/>
      <c r="BN10" s="318"/>
      <c r="BO10" s="324"/>
      <c r="BP10" s="322"/>
      <c r="BQ10" s="323"/>
      <c r="BR10" s="318"/>
      <c r="BS10" s="324"/>
      <c r="BT10" s="322"/>
      <c r="BU10" s="323"/>
      <c r="BV10" s="318"/>
      <c r="BW10" s="324"/>
      <c r="BZ10" s="408"/>
      <c r="CB10" s="274" t="s">
        <v>232</v>
      </c>
      <c r="CC10" s="274" t="s">
        <v>233</v>
      </c>
      <c r="CD10" s="274" t="s">
        <v>234</v>
      </c>
      <c r="CE10" s="274" t="s">
        <v>235</v>
      </c>
      <c r="CF10" s="274" t="s">
        <v>236</v>
      </c>
      <c r="CG10" s="274" t="s">
        <v>237</v>
      </c>
      <c r="CH10" s="274" t="s">
        <v>238</v>
      </c>
      <c r="CJ10" s="240"/>
      <c r="CL10" s="253"/>
      <c r="CM10" s="253" t="s">
        <v>225</v>
      </c>
      <c r="CN10" s="253" t="s">
        <v>129</v>
      </c>
      <c r="CO10" s="253" t="s">
        <v>127</v>
      </c>
      <c r="CP10" s="253" t="s">
        <v>118</v>
      </c>
      <c r="CQ10" s="253" t="s">
        <v>119</v>
      </c>
      <c r="CR10" s="251" t="s">
        <v>128</v>
      </c>
      <c r="CS10" s="251" t="s">
        <v>122</v>
      </c>
      <c r="CT10" s="251" t="s">
        <v>123</v>
      </c>
      <c r="CU10" s="249" t="s">
        <v>139</v>
      </c>
      <c r="CV10" s="249" t="s">
        <v>205</v>
      </c>
      <c r="CW10" s="249" t="s">
        <v>124</v>
      </c>
      <c r="CX10" s="249" t="s">
        <v>206</v>
      </c>
      <c r="CY10" s="249" t="s">
        <v>207</v>
      </c>
      <c r="CZ10" s="249" t="s">
        <v>208</v>
      </c>
      <c r="DA10" s="249" t="s">
        <v>209</v>
      </c>
      <c r="DB10" s="249" t="s">
        <v>210</v>
      </c>
      <c r="DC10" s="249" t="s">
        <v>215</v>
      </c>
      <c r="DD10" s="249" t="s">
        <v>211</v>
      </c>
      <c r="DE10" s="249" t="s">
        <v>212</v>
      </c>
      <c r="DF10" s="249" t="s">
        <v>213</v>
      </c>
      <c r="DG10" s="249" t="s">
        <v>214</v>
      </c>
      <c r="DM10" s="249" t="s">
        <v>216</v>
      </c>
      <c r="DN10" s="249" t="s">
        <v>217</v>
      </c>
      <c r="DO10" s="249" t="s">
        <v>215</v>
      </c>
      <c r="DP10" s="249" t="s">
        <v>209</v>
      </c>
      <c r="DQ10" s="249" t="s">
        <v>207</v>
      </c>
      <c r="DR10" s="249" t="s">
        <v>124</v>
      </c>
      <c r="DS10" s="249" t="s">
        <v>139</v>
      </c>
      <c r="DT10" s="251" t="s">
        <v>123</v>
      </c>
      <c r="DU10" s="251" t="s">
        <v>122</v>
      </c>
      <c r="DV10" s="251" t="s">
        <v>128</v>
      </c>
      <c r="DW10" s="253" t="s">
        <v>119</v>
      </c>
      <c r="DX10" s="253" t="s">
        <v>118</v>
      </c>
      <c r="DY10" s="253" t="s">
        <v>127</v>
      </c>
      <c r="DZ10" s="253" t="s">
        <v>129</v>
      </c>
      <c r="EA10">
        <v>2020</v>
      </c>
      <c r="EC10" s="288" t="s">
        <v>218</v>
      </c>
      <c r="ED10" s="288" t="s">
        <v>224</v>
      </c>
      <c r="EE10" s="249" t="s">
        <v>214</v>
      </c>
      <c r="EF10" s="249" t="s">
        <v>217</v>
      </c>
      <c r="EG10" s="249" t="s">
        <v>215</v>
      </c>
      <c r="EH10" s="249" t="s">
        <v>209</v>
      </c>
      <c r="EI10" s="249" t="s">
        <v>207</v>
      </c>
      <c r="EJ10" s="249" t="s">
        <v>124</v>
      </c>
      <c r="EK10" s="249" t="s">
        <v>139</v>
      </c>
      <c r="EL10" s="251" t="s">
        <v>123</v>
      </c>
      <c r="EM10" s="251" t="s">
        <v>122</v>
      </c>
      <c r="EN10" s="251" t="s">
        <v>128</v>
      </c>
      <c r="EO10" s="253" t="s">
        <v>119</v>
      </c>
      <c r="EP10" s="253" t="s">
        <v>118</v>
      </c>
      <c r="EQ10" s="253" t="s">
        <v>127</v>
      </c>
      <c r="ER10" s="253" t="s">
        <v>129</v>
      </c>
      <c r="EX10" s="346">
        <v>2020</v>
      </c>
      <c r="EY10" s="278">
        <f>EY$7+$A$3</f>
        <v>0.95</v>
      </c>
      <c r="EZ10" s="278">
        <f>EY7+$A$3</f>
        <v>0.95</v>
      </c>
      <c r="FA10" s="278">
        <f>1-SUM(FC10:FK10)+$A$3</f>
        <v>0.95</v>
      </c>
      <c r="FB10" s="5">
        <v>0</v>
      </c>
      <c r="FC10" s="5">
        <v>0</v>
      </c>
      <c r="FD10" s="5">
        <v>0</v>
      </c>
      <c r="FE10" s="5">
        <v>0</v>
      </c>
      <c r="FF10" s="5">
        <v>0</v>
      </c>
      <c r="FG10" s="5">
        <v>0</v>
      </c>
      <c r="FH10" s="5">
        <v>0</v>
      </c>
      <c r="FI10" s="5">
        <v>0</v>
      </c>
      <c r="FJ10" s="5">
        <v>0</v>
      </c>
      <c r="FK10" s="108">
        <v>0</v>
      </c>
      <c r="FL10" s="1"/>
      <c r="FM10" s="346">
        <v>2020</v>
      </c>
      <c r="FN10" s="278">
        <f>FN$7+$A$3</f>
        <v>0.95</v>
      </c>
      <c r="FO10" s="278">
        <f>FN7+$A$3</f>
        <v>0.95</v>
      </c>
      <c r="FP10" s="278">
        <f>1-SUM(FR10:FZ10)+$A$3</f>
        <v>0.95</v>
      </c>
      <c r="FQ10" s="5">
        <v>0</v>
      </c>
      <c r="FR10" s="5">
        <v>0</v>
      </c>
      <c r="FS10" s="5">
        <v>0</v>
      </c>
      <c r="FT10" s="5">
        <v>0</v>
      </c>
      <c r="FU10" s="5">
        <v>0</v>
      </c>
      <c r="FV10" s="5">
        <v>0</v>
      </c>
      <c r="FW10" s="5">
        <v>0</v>
      </c>
      <c r="FX10" s="5">
        <v>0</v>
      </c>
      <c r="FY10" s="5">
        <v>0</v>
      </c>
      <c r="FZ10" s="108">
        <v>0</v>
      </c>
      <c r="GA10" s="1"/>
      <c r="GB10" s="346">
        <v>2020</v>
      </c>
      <c r="GC10" s="278">
        <f>GC$7+$A$3</f>
        <v>0.95</v>
      </c>
      <c r="GD10" s="278">
        <f>GC7+$A$3</f>
        <v>0.95</v>
      </c>
      <c r="GE10" s="278">
        <f>1-SUM(GG10:GO10)+$A$3</f>
        <v>0.95</v>
      </c>
      <c r="GF10" s="5">
        <v>0</v>
      </c>
      <c r="GG10" s="5">
        <v>0</v>
      </c>
      <c r="GH10" s="5">
        <v>0</v>
      </c>
      <c r="GI10" s="5">
        <v>0</v>
      </c>
      <c r="GJ10" s="5">
        <v>0</v>
      </c>
      <c r="GK10" s="5">
        <v>0</v>
      </c>
      <c r="GL10" s="5">
        <v>0</v>
      </c>
      <c r="GM10" s="5">
        <v>0</v>
      </c>
      <c r="GN10" s="5">
        <v>0</v>
      </c>
      <c r="GO10" s="108">
        <v>0</v>
      </c>
      <c r="GP10" s="1"/>
      <c r="GQ10" s="346">
        <v>2020</v>
      </c>
      <c r="GR10" s="278">
        <f>GR$7+$A$3</f>
        <v>0.95</v>
      </c>
      <c r="GS10" s="278">
        <f>GR7+$A$3</f>
        <v>0.95</v>
      </c>
      <c r="GT10" s="278">
        <f>1-SUM(GV10:HD10)+$A$3</f>
        <v>0.95</v>
      </c>
      <c r="GU10" s="5">
        <v>0</v>
      </c>
      <c r="GV10" s="5">
        <v>0</v>
      </c>
      <c r="GW10" s="5">
        <v>0</v>
      </c>
      <c r="GX10" s="5">
        <v>0</v>
      </c>
      <c r="GY10" s="5">
        <v>0</v>
      </c>
      <c r="GZ10" s="5">
        <v>0</v>
      </c>
      <c r="HA10" s="5">
        <v>0</v>
      </c>
      <c r="HB10" s="5">
        <v>0</v>
      </c>
      <c r="HC10" s="5">
        <v>0</v>
      </c>
      <c r="HD10" s="108">
        <v>0</v>
      </c>
      <c r="HE10" s="1"/>
      <c r="HF10" s="346">
        <v>2020</v>
      </c>
      <c r="HG10" s="278">
        <f>HG$7+$A$3</f>
        <v>0.95</v>
      </c>
      <c r="HH10" s="278">
        <f>HG7+$A$3</f>
        <v>0.95</v>
      </c>
      <c r="HI10" s="278">
        <f>1-SUM(HK10:HS10)+$A$3</f>
        <v>0.95</v>
      </c>
      <c r="HJ10" s="5">
        <v>0</v>
      </c>
      <c r="HK10" s="5">
        <v>0</v>
      </c>
      <c r="HL10" s="5">
        <v>0</v>
      </c>
      <c r="HM10" s="5">
        <v>0</v>
      </c>
      <c r="HN10" s="5">
        <v>0</v>
      </c>
      <c r="HO10" s="5">
        <v>0</v>
      </c>
      <c r="HP10" s="5">
        <v>0</v>
      </c>
      <c r="HQ10" s="5">
        <v>0</v>
      </c>
      <c r="HR10" s="5">
        <v>0</v>
      </c>
      <c r="HS10" s="108">
        <v>0</v>
      </c>
      <c r="HT10" s="1"/>
      <c r="HU10" s="346">
        <v>2020</v>
      </c>
      <c r="HV10" s="278">
        <f>HV$7+$A$3</f>
        <v>0.95</v>
      </c>
      <c r="HW10" s="278">
        <f>HV7+$A$3</f>
        <v>0.95</v>
      </c>
      <c r="HX10" s="278">
        <f>1-SUM(HZ10:IH10)+$A$3</f>
        <v>0.95</v>
      </c>
      <c r="HY10" s="5">
        <v>0</v>
      </c>
      <c r="HZ10" s="5">
        <v>0</v>
      </c>
      <c r="IA10" s="5">
        <v>0</v>
      </c>
      <c r="IB10" s="5">
        <v>0</v>
      </c>
      <c r="IC10" s="5">
        <v>0</v>
      </c>
      <c r="ID10" s="5">
        <v>0</v>
      </c>
      <c r="IE10" s="5">
        <v>0</v>
      </c>
      <c r="IF10" s="5">
        <v>0</v>
      </c>
      <c r="IG10" s="5">
        <v>0</v>
      </c>
      <c r="IH10" s="108">
        <v>0</v>
      </c>
      <c r="II10" s="1"/>
      <c r="IJ10" s="346">
        <v>2020</v>
      </c>
      <c r="IK10" s="278">
        <f>IK$7+$A$3</f>
        <v>0.95</v>
      </c>
      <c r="IL10" s="278">
        <f>IK7+$A$3</f>
        <v>0.95</v>
      </c>
      <c r="IM10" s="278">
        <f>1-SUM(IO10:IW10)+$A$3</f>
        <v>0.95</v>
      </c>
      <c r="IN10" s="5">
        <v>0</v>
      </c>
      <c r="IO10" s="5">
        <v>0</v>
      </c>
      <c r="IP10" s="5">
        <v>0</v>
      </c>
      <c r="IQ10" s="5">
        <v>0</v>
      </c>
      <c r="IR10" s="5">
        <v>0</v>
      </c>
      <c r="IS10" s="5">
        <v>0</v>
      </c>
      <c r="IT10" s="5">
        <v>0</v>
      </c>
      <c r="IU10" s="5">
        <v>0</v>
      </c>
      <c r="IV10" s="5">
        <v>0</v>
      </c>
      <c r="IW10" s="108">
        <v>0</v>
      </c>
      <c r="IX10" s="5"/>
      <c r="IZ10">
        <f>IJ10</f>
        <v>2020</v>
      </c>
      <c r="JA10" s="3">
        <f>IM10</f>
        <v>0.95</v>
      </c>
      <c r="JB10" s="353">
        <f>HLOOKUP('1 StrategyMix for CarbonTargets'!$V$46,'Stress calculations'!JI$8:JU$39,3,FALSE)</f>
        <v>1</v>
      </c>
      <c r="JC10" s="3">
        <f>IK10</f>
        <v>0.95</v>
      </c>
      <c r="JD10" s="353">
        <f>JC10/EY$10</f>
        <v>1</v>
      </c>
      <c r="JE10" s="418">
        <f>FM126</f>
        <v>0.95</v>
      </c>
      <c r="JF10" s="368">
        <f>JE10</f>
        <v>0.95</v>
      </c>
      <c r="JG10" s="369">
        <f>JF10/EY$10</f>
        <v>1</v>
      </c>
      <c r="JH10" s="361">
        <f>FA10</f>
        <v>0.95</v>
      </c>
      <c r="JI10" s="362">
        <f>JH10/FA$10</f>
        <v>1</v>
      </c>
      <c r="JJ10" s="366">
        <f>FP10</f>
        <v>0.95</v>
      </c>
      <c r="JK10" s="367">
        <f t="shared" ref="JK10:JK39" si="8">JJ10/FP$10</f>
        <v>1</v>
      </c>
      <c r="JL10" s="363">
        <f>GE10</f>
        <v>0.95</v>
      </c>
      <c r="JM10" s="362">
        <f>JL10/GE$10</f>
        <v>1</v>
      </c>
      <c r="JN10" s="366">
        <f>GT10</f>
        <v>0.95</v>
      </c>
      <c r="JO10" s="367">
        <f>JN10/GT$10</f>
        <v>1</v>
      </c>
      <c r="JP10" s="363">
        <f>HI10</f>
        <v>0.95</v>
      </c>
      <c r="JQ10" s="362">
        <f>JP10/HI$10</f>
        <v>1</v>
      </c>
      <c r="JR10" s="366">
        <f>HX10</f>
        <v>0.95</v>
      </c>
      <c r="JS10" s="367">
        <f>JR10/HX$10</f>
        <v>1</v>
      </c>
      <c r="JT10" s="363">
        <f>IM10</f>
        <v>0.95</v>
      </c>
      <c r="JU10" s="362">
        <f>JT10/IM$10</f>
        <v>1</v>
      </c>
    </row>
    <row r="11" spans="1:281" ht="43.5">
      <c r="A11" s="259">
        <f>'1 StrategyMix for CarbonTargets'!V14</f>
        <v>0.6</v>
      </c>
      <c r="B11" s="247"/>
      <c r="C11" s="247"/>
      <c r="D11" s="247"/>
      <c r="E11" s="247"/>
      <c r="F11" s="247"/>
      <c r="J11" s="1" t="s">
        <v>304</v>
      </c>
      <c r="L11" s="64">
        <f>K10+L10</f>
        <v>0.95</v>
      </c>
      <c r="M11" s="64">
        <f>L11+M10</f>
        <v>1.0166666666666666</v>
      </c>
      <c r="O11" s="64">
        <f>M11+O10</f>
        <v>1.0166666666666666</v>
      </c>
      <c r="P11" s="64">
        <f>O11+P10</f>
        <v>1.0166666666666666</v>
      </c>
      <c r="Q11" s="64">
        <f>P11+Q10</f>
        <v>1.0166666666666666</v>
      </c>
      <c r="R11" s="64">
        <f>Q11+R10</f>
        <v>1.0166666666666666</v>
      </c>
      <c r="T11" s="64">
        <f>R11+T10</f>
        <v>1.0166666666666666</v>
      </c>
      <c r="U11" s="64">
        <f>T11+U10</f>
        <v>1.0166666666666666</v>
      </c>
      <c r="V11" s="64">
        <f>U11+V10</f>
        <v>1.0166666666666666</v>
      </c>
      <c r="Z11" s="64">
        <f>V11+Z10</f>
        <v>1.0166666666666666</v>
      </c>
      <c r="AB11" s="64">
        <f>Z11+AA10+AB10</f>
        <v>1.0166666666666666</v>
      </c>
      <c r="AD11" s="64">
        <f>AB11+AC10+AD10</f>
        <v>1.0166666666666666</v>
      </c>
      <c r="AF11" s="64">
        <f>AD11+AE10+AF10</f>
        <v>1.0166666666666666</v>
      </c>
      <c r="AH11" s="64">
        <f>AF11+AG10+AH10</f>
        <v>1.0166666666666666</v>
      </c>
      <c r="AJ11" s="64">
        <f>AH11+AI10+AJ10</f>
        <v>1.0166666666666666</v>
      </c>
      <c r="AL11" s="64">
        <f>AJ11+AK10+AL10</f>
        <v>1.0166666666666666</v>
      </c>
      <c r="AM11" s="269">
        <f>(Z11-AL11)/100</f>
        <v>0</v>
      </c>
      <c r="AN11">
        <f>INT((Z11-0.45)/AM12)</f>
        <v>155</v>
      </c>
      <c r="AO11" s="89">
        <v>2021</v>
      </c>
      <c r="AP11" s="170">
        <f>IF($AO11&gt;=AP$6,IF($AO11&lt;=AP$9,AP$4/(AP$9-AP$6+1),AP$4),0)</f>
        <v>-9.6000000000000002E-4</v>
      </c>
      <c r="AQ11" s="170">
        <f>IF($AO11&gt;=AQ$6,IF($AO11&lt;=AQ$9,AQ$4/(AQ$9-AQ$6+1),AQ$4),0)</f>
        <v>0</v>
      </c>
      <c r="AR11" s="170">
        <f>IF($AO11&gt;=AR$6,IF($AO11&lt;=AR$9,AR$4/(AR$9-AR$6+1),AR$4),0)</f>
        <v>0</v>
      </c>
      <c r="AS11" s="170">
        <f>IF($AO11&gt;=AS$6,IF($AO11&lt;=AS$9,AS$4/(AS$9-AS$6+1),AS$4),0)</f>
        <v>0</v>
      </c>
      <c r="AU11" s="170">
        <f>IF($AO11&gt;=AU$6,IF($AO11&lt;=AU$9,T$4/(AU$9-AU$6+1)+((AU$4-T$4)*(1-$BZ11))/(AU$9-AU$6+1),AU$4),0)</f>
        <v>-1.6788321167883215E-3</v>
      </c>
      <c r="AV11" s="170">
        <f>IF($AO11&gt;=AV$6,IF($AO11&lt;=AV$9,U$4/(AV$9-AV$6+1)+((AV$4-U$4)*(1-$BZ11))/(AV$9-AV$6+1),AV$4),0)</f>
        <v>-3.4793187347931871E-3</v>
      </c>
      <c r="AW11" s="170">
        <f>IF($AO11&gt;=AW$6,IF($AO11&lt;=AW$9,V$4/(AW$9-AW$6+1)+((AW$4-V$4)*(1-$BZ11))/(AW$9-AW$6+1),AW$4),0)</f>
        <v>-8.1751824817518255E-3</v>
      </c>
      <c r="AY11" s="170">
        <f>IF($AO11&gt;=AY$6,IF($AO11&lt;=AY$9,AY$4/(AY$9-AY$6+1),AY$4),0)</f>
        <v>-4.9905882352941156E-3</v>
      </c>
      <c r="AZ11" s="170">
        <f>IF($AO11&gt;=AZ$6,IF($AO11&lt;=AZ$9,(-$AY11*0.1)/(AZ$9-AZ$6-1),AZ$4),0)</f>
        <v>0</v>
      </c>
      <c r="BA11" s="284">
        <f>IF($AO11&gt;=BA$6,IF($AO11&lt;=BA$9,AB$5+(BA$4-AB$5)/(BA$9-BA$6+1),BA$4),0)</f>
        <v>-2.0463998191304324E-2</v>
      </c>
      <c r="BB11" s="276">
        <f>IF($AO11&gt;=BB$6,IF($AO11&lt;=BB$9,(BB4/(BB$9-BB$6+1)),BB$4),0)</f>
        <v>0</v>
      </c>
      <c r="BC11" s="277">
        <f>BB11*(BA11/BA$4)</f>
        <v>0</v>
      </c>
      <c r="BD11" s="170">
        <f>IF($AO11&gt;=BD$6,IF($AO11&lt;=BD$9,(-$AY11*0.1)/(BD$9-BD$6+1),BD$4),0)</f>
        <v>0</v>
      </c>
      <c r="BE11" s="284">
        <f>IF($AO11&gt;=BE$6,IF($AO11&lt;=BE$9,AD$5+(BE$4-AD$5)/(BE$9-BE$6+1),BE$4),0)</f>
        <v>-2.0463998191304365E-2</v>
      </c>
      <c r="BF11" s="276">
        <f>IF($AO11&gt;=BF$6,IF($AO11&lt;=BF$9,(BF4/(BF$9-BF$6+1)),BF$4),0)</f>
        <v>0</v>
      </c>
      <c r="BG11" s="277">
        <f t="shared" ref="BG11:BG40" si="9">BF11*(BE11/BE$4)</f>
        <v>0</v>
      </c>
      <c r="BH11" s="170">
        <f>IF($AO11&gt;=BH$6,IF($AO11&lt;=BH$9,(-$AY11*0.2)/(BH$9-BH$6+1),BH$4),0)</f>
        <v>0</v>
      </c>
      <c r="BI11" s="284">
        <f>IF($AO11&gt;=BI$6,IF($AO11&lt;=BI$9,AF$5+(BI$4-AF$5)/(BI$9-BI$6+1),BI$4),0)</f>
        <v>-4.0927996382608717E-2</v>
      </c>
      <c r="BJ11" s="276">
        <f>IF($AO11&gt;=BJ$6,IF($AO11&lt;=BJ$9,(BJ4/(BJ$9-BJ$6+1)),BJ$4),0)</f>
        <v>0</v>
      </c>
      <c r="BK11" s="277">
        <f t="shared" ref="BK11:BK40" si="10">BJ11*(BI11/BI$4)</f>
        <v>0</v>
      </c>
      <c r="BL11" s="170">
        <f>IF($AO11&gt;=BL$6,IF($AO11&lt;=BL$9,(-$AY11*0.2)/(BL$9-BL$6+1),BL$4),0)</f>
        <v>0</v>
      </c>
      <c r="BM11" s="284">
        <f>IF($AO11&gt;=BM$6,IF($AO11&lt;=BM$9,AH$5+(BM$4-AH$5)/(BM$9-BM$6+1),BM$4),0)</f>
        <v>-4.0927996382608675E-2</v>
      </c>
      <c r="BN11" s="276">
        <f>IF($AO11&gt;=BN$6,IF($AO11&lt;=BN$9,(BN4/(BN$9-BN$6+1)),BN$4),0)</f>
        <v>0</v>
      </c>
      <c r="BO11" s="277">
        <f t="shared" ref="BO11:BO40" si="11">BN11*(BM11/BM$4)</f>
        <v>0</v>
      </c>
      <c r="BP11" s="170">
        <f>IF($AO11&gt;=BP$6,IF($AO11&lt;=BP$9,(-$AY11*0.2)/(BP$9-BP$6+1),BP$4),0)</f>
        <v>0</v>
      </c>
      <c r="BQ11" s="284">
        <f>IF($AO11&gt;=BQ$6,IF($AO11&lt;=BQ$9,AJ$5+(BQ$4-AJ$5)/(BQ$9-BQ$6+1),BQ$4),0)</f>
        <v>-4.0927996382608731E-2</v>
      </c>
      <c r="BR11" s="276">
        <f>IF($AO11&gt;=BR$6,IF($AO11&lt;=BR$9,(BR4/(BR$9-BR$6+1)),BR$4),0)</f>
        <v>0</v>
      </c>
      <c r="BS11" s="277">
        <f t="shared" ref="BS11:BS40" si="12">BR11*(BQ11/BQ$4)</f>
        <v>0</v>
      </c>
      <c r="BT11" s="170">
        <f>IF($AO11&gt;=BT$6,IF($AO11&lt;=BT$9,(-$AY11*0.2)/(BT$9-BT$6+1),BT$4),0)</f>
        <v>0</v>
      </c>
      <c r="BU11" s="284">
        <f>IF($AO11&gt;=BU$6,IF($AO11&lt;=BU$9,AL$5+(BU$4-AL$5)/(BU$9-BU$6+1),BU$4),0)</f>
        <v>-4.0927996382608675E-2</v>
      </c>
      <c r="BV11" s="276">
        <f>IF($AO11&gt;=BV$6,IF($AO11&lt;=BV$9,(BV4/(BV$9-BV$6+1)),BV$4),0)</f>
        <v>0</v>
      </c>
      <c r="BW11" s="278">
        <f t="shared" ref="BW11:BW40" si="13">BV11*(BU11/BU$4)</f>
        <v>0</v>
      </c>
      <c r="BX11" s="389">
        <f>IF(BX$1=0,AY11,IF(BX$1=0.1,AY11+AZ11,IF(BX$1=0.2,AY11+AZ11+BD11,IF(BX$1=0.4,AY11+AZ11+BD11+BH11,IF(BX$1=0.6,AY11+AZ11+BD11+BH11+BL11,IF(BX$1=0.8,AY11+AZ11+BD11+BH11+BL11+BP11,IF(BX$1=1,AY11+AZ11+BD11+BH11+BL11+BT11,0)))))))</f>
        <v>-4.9905882352941156E-3</v>
      </c>
      <c r="BY11" s="404">
        <f>IF(BY$1=0,0,IF(BY$1=0.1,BC11,IF(BY$1=0.2,BC11+BG11,IF(BY$1=0.4,BC11+BG11+BK11,IF(BY$1=0.6,BC11+BG11+BK11+BO11,IF(BY$1=0.8,BC11+BG11+BK11+BO11+BS11,IF(BY$1=1,BC11+BG11+BK11+BO11+BS11+BW11,0)))))))</f>
        <v>0</v>
      </c>
      <c r="BZ11" s="409">
        <f>IF($AO11&gt;=BZ$6,IF($AO11&lt;=BZ$9,BY$1/(BZ$9-BZ$6+1),BZ$4),0)</f>
        <v>0</v>
      </c>
      <c r="CB11" s="279">
        <f t="shared" ref="CB11:CB20" si="14">SUM(AP11:AY11)</f>
        <v>-1.928392156862745E-2</v>
      </c>
      <c r="CC11" s="64">
        <f t="shared" ref="CC11:CC40" si="15">SUM(AP11:AZ11)+BC11</f>
        <v>-1.928392156862745E-2</v>
      </c>
      <c r="CD11" s="64">
        <f t="shared" ref="CD11:CD40" si="16">SUM(AP11:AZ11)+BC11+BD11+BG11</f>
        <v>-1.928392156862745E-2</v>
      </c>
      <c r="CE11" s="64">
        <f t="shared" ref="CE11:CE40" si="17">SUM(AP11:AZ11)+BC11+BD11+BG11+BH11+BK11</f>
        <v>-1.928392156862745E-2</v>
      </c>
      <c r="CF11" s="64">
        <f t="shared" ref="CF11:CF40" si="18">SUM(AP11:AZ11)+BC11+BD11+BG11+BH11+BK11+BL11+BO11</f>
        <v>-1.928392156862745E-2</v>
      </c>
      <c r="CG11" s="64">
        <f t="shared" ref="CG11:CG40" si="19">SUM(AP11:AZ11)+BC11+BD11+BG11+BH11+BK11+BL11+BO11+BP11+BS11</f>
        <v>-1.928392156862745E-2</v>
      </c>
      <c r="CH11" s="64">
        <f t="shared" ref="CH11:CH40" si="20">SUM(AP11:AZ11)+BC11+BD11+BG11+BH11+BK11+BL11+BO11+BP11+BS11+BT11+BW11</f>
        <v>-1.928392156862745E-2</v>
      </c>
      <c r="CI11">
        <v>2021</v>
      </c>
      <c r="CJ11" s="240"/>
      <c r="CL11">
        <v>2021</v>
      </c>
      <c r="CM11" s="3">
        <f>1+$A$3</f>
        <v>0.95</v>
      </c>
      <c r="CN11" s="64">
        <f t="shared" ref="CN11:CQ40" si="21">CM11+AP11</f>
        <v>0.94903999999999999</v>
      </c>
      <c r="CO11" s="64">
        <f t="shared" si="21"/>
        <v>0.94903999999999999</v>
      </c>
      <c r="CP11" s="64">
        <f t="shared" si="21"/>
        <v>0.94903999999999999</v>
      </c>
      <c r="CQ11" s="64">
        <f t="shared" si="21"/>
        <v>0.94903999999999999</v>
      </c>
      <c r="CR11" s="64">
        <f t="shared" ref="CR11:CT40" si="22">CQ11+AU11</f>
        <v>0.94736116788321167</v>
      </c>
      <c r="CS11" s="64">
        <f t="shared" si="22"/>
        <v>0.94388184914841844</v>
      </c>
      <c r="CT11" s="64">
        <f t="shared" si="22"/>
        <v>0.93570666666666658</v>
      </c>
      <c r="CU11" s="64">
        <f t="shared" ref="CU11:CV40" si="23">CT11+AY11</f>
        <v>0.9307160784313725</v>
      </c>
      <c r="CV11" s="64">
        <f t="shared" si="23"/>
        <v>0.9307160784313725</v>
      </c>
      <c r="CW11" s="65">
        <f>CV11+BC11</f>
        <v>0.9307160784313725</v>
      </c>
      <c r="CX11" s="64">
        <f>CV11+BD11</f>
        <v>0.9307160784313725</v>
      </c>
      <c r="CY11" s="65">
        <f>CX11+BC11+BG11</f>
        <v>0.9307160784313725</v>
      </c>
      <c r="CZ11" s="64">
        <f>CX11+BH11</f>
        <v>0.9307160784313725</v>
      </c>
      <c r="DA11" s="65">
        <f>CZ11+BC11+BG11+BK11</f>
        <v>0.9307160784313725</v>
      </c>
      <c r="DB11" s="64">
        <f>CZ11+BL11</f>
        <v>0.9307160784313725</v>
      </c>
      <c r="DC11" s="65">
        <f>DB11+BC11+BG11+BK11+BO11</f>
        <v>0.9307160784313725</v>
      </c>
      <c r="DD11" s="64">
        <f>DB11+BP11</f>
        <v>0.9307160784313725</v>
      </c>
      <c r="DE11" s="65">
        <f>DD11+BC11+BG11+BK11+BO11+BS11</f>
        <v>0.9307160784313725</v>
      </c>
      <c r="DF11" s="64">
        <f>DD11+BT11</f>
        <v>0.9307160784313725</v>
      </c>
      <c r="DG11" s="65">
        <f>DF11+BC11+BG11+BK11+BO11+BS11+BW11</f>
        <v>0.9307160784313725</v>
      </c>
      <c r="DL11">
        <v>2021</v>
      </c>
      <c r="DM11" s="64">
        <f>DG11</f>
        <v>0.9307160784313725</v>
      </c>
      <c r="DN11" s="64">
        <f>DE11</f>
        <v>0.9307160784313725</v>
      </c>
      <c r="DO11" s="64">
        <f>DC11</f>
        <v>0.9307160784313725</v>
      </c>
      <c r="DP11" s="64">
        <f>DA11</f>
        <v>0.9307160784313725</v>
      </c>
      <c r="DQ11" s="64">
        <f>CY11</f>
        <v>0.9307160784313725</v>
      </c>
      <c r="DR11" s="64">
        <f>CW11</f>
        <v>0.9307160784313725</v>
      </c>
      <c r="DS11" s="64">
        <f t="shared" ref="DS11:DS40" si="24">CU11</f>
        <v>0.9307160784313725</v>
      </c>
      <c r="DT11" s="64">
        <f t="shared" ref="DT11:DT40" si="25">CT11</f>
        <v>0.93570666666666658</v>
      </c>
      <c r="DU11" s="64">
        <f t="shared" ref="DU11:DU40" si="26">CS11</f>
        <v>0.94388184914841844</v>
      </c>
      <c r="DV11" s="64">
        <f t="shared" ref="DV11:DV40" si="27">CR11</f>
        <v>0.94736116788321167</v>
      </c>
      <c r="DW11" s="64">
        <f t="shared" ref="DW11:DW40" si="28">CQ11</f>
        <v>0.94903999999999999</v>
      </c>
      <c r="DX11" s="64">
        <f t="shared" ref="DX11:DX40" si="29">CP11</f>
        <v>0.94903999999999999</v>
      </c>
      <c r="DY11" s="64">
        <f t="shared" ref="DY11:DY40" si="30">CO11</f>
        <v>0.94903999999999999</v>
      </c>
      <c r="DZ11" s="64">
        <f t="shared" ref="DZ11:DZ40" si="31">CN11</f>
        <v>0.94903999999999999</v>
      </c>
      <c r="EA11" s="3">
        <f>1+$A$3</f>
        <v>0.95</v>
      </c>
      <c r="EB11">
        <v>2021</v>
      </c>
      <c r="EC11" s="269">
        <f>1-SUM(ED11:ER11)</f>
        <v>0.9307160784313725</v>
      </c>
      <c r="ED11" s="269">
        <f>-$A$3</f>
        <v>0.05</v>
      </c>
      <c r="EE11" s="64">
        <f t="shared" ref="EE11:ER26" si="32">(DN11-DM11)</f>
        <v>0</v>
      </c>
      <c r="EF11" s="64">
        <f t="shared" si="32"/>
        <v>0</v>
      </c>
      <c r="EG11" s="64">
        <f t="shared" si="32"/>
        <v>0</v>
      </c>
      <c r="EH11" s="64">
        <f t="shared" si="32"/>
        <v>0</v>
      </c>
      <c r="EI11" s="64">
        <f t="shared" si="32"/>
        <v>0</v>
      </c>
      <c r="EJ11" s="64">
        <f t="shared" si="32"/>
        <v>0</v>
      </c>
      <c r="EK11" s="64">
        <f t="shared" si="32"/>
        <v>4.99058823529408E-3</v>
      </c>
      <c r="EL11" s="64">
        <f t="shared" si="32"/>
        <v>8.1751824817518637E-3</v>
      </c>
      <c r="EM11" s="64">
        <f t="shared" si="32"/>
        <v>3.4793187347932353E-3</v>
      </c>
      <c r="EN11" s="64">
        <f t="shared" si="32"/>
        <v>1.6788321167883202E-3</v>
      </c>
      <c r="EO11" s="64">
        <f t="shared" si="32"/>
        <v>0</v>
      </c>
      <c r="EP11" s="64">
        <f t="shared" si="32"/>
        <v>0</v>
      </c>
      <c r="EQ11" s="64">
        <f t="shared" si="32"/>
        <v>0</v>
      </c>
      <c r="ER11" s="64">
        <f t="shared" si="32"/>
        <v>9.5999999999996088E-4</v>
      </c>
      <c r="ES11" s="3"/>
      <c r="EX11" s="89">
        <v>2021</v>
      </c>
      <c r="EY11" s="278">
        <f>EY$7+$A$3+((EX11-2020)*($A$6/30))</f>
        <v>0.95666666666666667</v>
      </c>
      <c r="EZ11" s="278"/>
      <c r="FA11" s="278">
        <f>1-SUM(FC11:FK11)+(EY11-1)</f>
        <v>0.937254185620915</v>
      </c>
      <c r="FB11" s="278">
        <f t="shared" ref="FB11:FB40" si="33">-$A$3</f>
        <v>0.05</v>
      </c>
      <c r="FC11" s="64">
        <f>-($BC11+$BG11+$BK11+$BO11+$BS11+$BW11)*(1+$EY11-$EY$10)</f>
        <v>0</v>
      </c>
      <c r="FD11" s="64">
        <f>-($AY11+$AZ11+$BD11+$BH11+$BL11+$BP11+$BT11)*(1+$EY11-$EY$10)</f>
        <v>5.0238588235294096E-3</v>
      </c>
      <c r="FE11" s="64">
        <f>$EL11*(1+$EY11-$EY$10)</f>
        <v>8.229683698296875E-3</v>
      </c>
      <c r="FF11" s="64">
        <f>$EM11*(1+$EY11-$EY$10)</f>
        <v>3.50251419302519E-3</v>
      </c>
      <c r="FG11" s="64">
        <f>$EN11*(1+$EY11-$EY$10)</f>
        <v>1.6900243309002421E-3</v>
      </c>
      <c r="FH11" s="64">
        <f>$EO11*(1+$EY11-$EY$10)</f>
        <v>0</v>
      </c>
      <c r="FI11" s="64">
        <f>$EP11*(1+$EY11-$EY$10)</f>
        <v>0</v>
      </c>
      <c r="FJ11" s="64">
        <f>$EQ11*(1+$EY11-$EY$10)</f>
        <v>0</v>
      </c>
      <c r="FK11" s="280">
        <f>$ER11*(1+$EY11-$EY$10)</f>
        <v>9.6639999999996061E-4</v>
      </c>
      <c r="FL11" s="64"/>
      <c r="FM11" s="89">
        <v>2021</v>
      </c>
      <c r="FN11" s="278">
        <f>FN$7+$A$3+((FM11-2020)*($A$6/30))</f>
        <v>0.95666666666666667</v>
      </c>
      <c r="FP11" s="278">
        <f>1-SUM(FR11:FZ11)+(FN11-1)</f>
        <v>0.937254185620915</v>
      </c>
      <c r="FQ11" s="278">
        <f>-$A$3</f>
        <v>0.05</v>
      </c>
      <c r="FR11" s="64">
        <f>-($BC11+$BG11+$BK11+$BO11+$BS11)*(1+$EY11-$EY$10)</f>
        <v>0</v>
      </c>
      <c r="FS11" s="64">
        <f>-($AY11+$AZ11+$BD11+$BH11+$BL11+$BP11)*(1+$EY11-$EY$10)</f>
        <v>5.0238588235294096E-3</v>
      </c>
      <c r="FT11" s="64">
        <f>$EL11*(1+$EY11-$EY$10)</f>
        <v>8.229683698296875E-3</v>
      </c>
      <c r="FU11" s="64">
        <f>$EM11*(1+$EY11-$EY$10)</f>
        <v>3.50251419302519E-3</v>
      </c>
      <c r="FV11" s="64">
        <f>$EN11*(1+$EY11-$EY$10)</f>
        <v>1.6900243309002421E-3</v>
      </c>
      <c r="FW11" s="64">
        <f>$EO11*(1+$EY11-$EY$10)</f>
        <v>0</v>
      </c>
      <c r="FX11" s="64">
        <f>$EP11*(1+$EY11-$EY$10)</f>
        <v>0</v>
      </c>
      <c r="FY11" s="64">
        <f>$EQ11*(1+$EY11-$EY$10)</f>
        <v>0</v>
      </c>
      <c r="FZ11" s="280">
        <f>$ER11*(1+$EY11-$EY$10)</f>
        <v>9.6639999999996061E-4</v>
      </c>
      <c r="GA11" s="64"/>
      <c r="GB11" s="89">
        <v>2021</v>
      </c>
      <c r="GC11" s="278">
        <f>GC$7+$A$3+((GB11-2020)*($A$6/30))</f>
        <v>0.95666666666666667</v>
      </c>
      <c r="GE11" s="278">
        <f>1-SUM(GG11:GO11)+(GC11-1)</f>
        <v>0.937254185620915</v>
      </c>
      <c r="GF11" s="278">
        <f>-$A$3</f>
        <v>0.05</v>
      </c>
      <c r="GG11" s="64">
        <f>-($BC11+$BG11+$BK11+$BO11)*(1+$EY11-$EY$10)</f>
        <v>0</v>
      </c>
      <c r="GH11" s="64">
        <f>-($AY11+$AZ11+$BD11+$BH11+$BL11)*(1+$EY11-$EY$10)</f>
        <v>5.0238588235294096E-3</v>
      </c>
      <c r="GI11" s="64">
        <f>$EL11*(1+$EY11-$EY$10)</f>
        <v>8.229683698296875E-3</v>
      </c>
      <c r="GJ11" s="64">
        <f>$EM11*(1+$EY11-$EY$10)</f>
        <v>3.50251419302519E-3</v>
      </c>
      <c r="GK11" s="64">
        <f>$EN11*(1+$EY11-$EY$10)</f>
        <v>1.6900243309002421E-3</v>
      </c>
      <c r="GL11" s="64">
        <f>$EO11*(1+$EY11-$EY$10)</f>
        <v>0</v>
      </c>
      <c r="GM11" s="64">
        <f>$EP11*(1+$EY11-$EY$10)</f>
        <v>0</v>
      </c>
      <c r="GN11" s="64">
        <f>$EQ11*(1+$EY11-$EY$10)</f>
        <v>0</v>
      </c>
      <c r="GO11" s="280">
        <f>$ER11*(1+$EY11-$EY$10)</f>
        <v>9.6639999999996061E-4</v>
      </c>
      <c r="GP11" s="64"/>
      <c r="GQ11" s="89">
        <v>2021</v>
      </c>
      <c r="GR11" s="278">
        <f>GR$7+$A$3+((GQ11-2020)*($A$6/30))</f>
        <v>0.95666666666666667</v>
      </c>
      <c r="GT11" s="278">
        <f>1-SUM(GV11:HD11)+(GR11-1)</f>
        <v>0.937254185620915</v>
      </c>
      <c r="GU11" s="278">
        <f>-$A$3</f>
        <v>0.05</v>
      </c>
      <c r="GV11" s="64">
        <f>-($BC11+$BG11+$BK11)*(1+$EY11-$EY$10)</f>
        <v>0</v>
      </c>
      <c r="GW11" s="64">
        <f>-($AY11+$AZ11+$BD11+$BH11)*(1+$EY11-$EY$10)</f>
        <v>5.0238588235294096E-3</v>
      </c>
      <c r="GX11" s="64">
        <f>$EL11*(1+$EY11-$EY$10)</f>
        <v>8.229683698296875E-3</v>
      </c>
      <c r="GY11" s="64">
        <f>$EM11*(1+$EY11-$EY$10)</f>
        <v>3.50251419302519E-3</v>
      </c>
      <c r="GZ11" s="64">
        <f>$EN11*(1+$EY11-$EY$10)</f>
        <v>1.6900243309002421E-3</v>
      </c>
      <c r="HA11" s="64">
        <f>$EO11*(1+$EY11-$EY$10)</f>
        <v>0</v>
      </c>
      <c r="HB11" s="64">
        <f>$EP11*(1+$EY11-$EY$10)</f>
        <v>0</v>
      </c>
      <c r="HC11" s="64">
        <f>$EQ11*(1+$EY11-$EY$10)</f>
        <v>0</v>
      </c>
      <c r="HD11" s="280">
        <f>$ER11*(1+$EY11-$EY$10)</f>
        <v>9.6639999999996061E-4</v>
      </c>
      <c r="HE11" s="64"/>
      <c r="HF11" s="89">
        <v>2021</v>
      </c>
      <c r="HG11" s="278">
        <f>HG$7+$A$3+((HF11-2020)*($A$6/30))</f>
        <v>0.95666666666666667</v>
      </c>
      <c r="HI11" s="278">
        <f>1-SUM(HK11:HS11)+(HG11-1)</f>
        <v>0.937254185620915</v>
      </c>
      <c r="HJ11" s="278">
        <f>-$A$3</f>
        <v>0.05</v>
      </c>
      <c r="HK11" s="64">
        <f>-($BC11+$BG11)*(1+$EY11-$EY$10)</f>
        <v>0</v>
      </c>
      <c r="HL11" s="64">
        <f>-($AY11+$AZ11+$BD11)*(1+$EY11-$EY$10)</f>
        <v>5.0238588235294096E-3</v>
      </c>
      <c r="HM11" s="64">
        <f>$EL11*(1+$EY11-$EY$10)</f>
        <v>8.229683698296875E-3</v>
      </c>
      <c r="HN11" s="64">
        <f>$EM11*(1+$EY11-$EY$10)</f>
        <v>3.50251419302519E-3</v>
      </c>
      <c r="HO11" s="64">
        <f>$EN11*(1+$EY11-$EY$10)</f>
        <v>1.6900243309002421E-3</v>
      </c>
      <c r="HP11" s="64">
        <f>$EO11*(1+$EY11-$EY$10)</f>
        <v>0</v>
      </c>
      <c r="HQ11" s="64">
        <f>$EP11*(1+$EY11-$EY$10)</f>
        <v>0</v>
      </c>
      <c r="HR11" s="64">
        <f>$EQ11*(1+$EY11-$EY$10)</f>
        <v>0</v>
      </c>
      <c r="HS11" s="280">
        <f>$ER11*(1+$EY11-$EY$10)</f>
        <v>9.6639999999996061E-4</v>
      </c>
      <c r="HT11" s="64"/>
      <c r="HU11" s="89">
        <v>2021</v>
      </c>
      <c r="HV11" s="278">
        <f>HV$7+$A$3+((HU11-2020)*($A$6/30))</f>
        <v>0.95666666666666667</v>
      </c>
      <c r="HX11" s="278">
        <f>1-SUM(HZ11:IH11)+(HV11-1)</f>
        <v>0.937254185620915</v>
      </c>
      <c r="HY11" s="278">
        <f>-$A$3</f>
        <v>0.05</v>
      </c>
      <c r="HZ11" s="64">
        <f>-($BC11)*(1+$EY11-$EY$10)</f>
        <v>0</v>
      </c>
      <c r="IA11" s="64">
        <f>-($AY11+$AZ11)*(1+$EY11-$EY$10)</f>
        <v>5.0238588235294096E-3</v>
      </c>
      <c r="IB11" s="64">
        <f>$EL11*(1+$EY11-$EY$10)</f>
        <v>8.229683698296875E-3</v>
      </c>
      <c r="IC11" s="64">
        <f>$EM11*(1+$EY11-$EY$10)</f>
        <v>3.50251419302519E-3</v>
      </c>
      <c r="ID11" s="64">
        <f>$EN11*(1+$EY11-$EY$10)</f>
        <v>1.6900243309002421E-3</v>
      </c>
      <c r="IE11" s="64">
        <f>$EO11*(1+$EY11-$EY$10)</f>
        <v>0</v>
      </c>
      <c r="IF11" s="64">
        <f>$EP11*(1+$EY11-$EY$10)</f>
        <v>0</v>
      </c>
      <c r="IG11" s="64">
        <f>$EQ11*(1+$EY11-$EY$10)</f>
        <v>0</v>
      </c>
      <c r="IH11" s="280">
        <f>$ER11*(1+$EY11-$EY$10)</f>
        <v>9.6639999999996061E-4</v>
      </c>
      <c r="II11" s="64"/>
      <c r="IJ11" s="89">
        <v>2021</v>
      </c>
      <c r="IK11" s="278">
        <f>IK$7+$A$3+((IJ11-2020)*($A$6/30))</f>
        <v>0.95666666666666667</v>
      </c>
      <c r="IM11" s="278">
        <f>1-SUM(IO11:IW11)+(IK11-1)</f>
        <v>0.937254185620915</v>
      </c>
      <c r="IN11" s="278">
        <f>-$A$3</f>
        <v>0.05</v>
      </c>
      <c r="IO11" s="64">
        <v>0</v>
      </c>
      <c r="IP11" s="64">
        <f>-$AY11*(1+$EY11-$EY$10)</f>
        <v>5.0238588235294096E-3</v>
      </c>
      <c r="IQ11" s="64">
        <f>$EL11*(1+$EY11-$EY$10)</f>
        <v>8.229683698296875E-3</v>
      </c>
      <c r="IR11" s="64">
        <f>$EM11*(1+$EY11-$EY$10)</f>
        <v>3.50251419302519E-3</v>
      </c>
      <c r="IS11" s="64">
        <f>$EN11*(1+$EY11-$EY$10)</f>
        <v>1.6900243309002421E-3</v>
      </c>
      <c r="IT11" s="64">
        <f>$EO11*(1+$EY11-$EY$10)</f>
        <v>0</v>
      </c>
      <c r="IU11" s="64">
        <f>$EP11*(1+$EY11-$EY$10)</f>
        <v>0</v>
      </c>
      <c r="IV11" s="64">
        <f>$EQ11*(1+$EY11-$EY$10)</f>
        <v>0</v>
      </c>
      <c r="IW11" s="280">
        <f>$ER11*(1+$EY11-$EY$10)</f>
        <v>9.6639999999996061E-4</v>
      </c>
      <c r="IX11" s="64"/>
      <c r="IY11" s="3">
        <f>JF11-JF10</f>
        <v>0.89999999999999991</v>
      </c>
      <c r="IZ11">
        <f t="shared" ref="IZ11:IZ40" si="34">IJ11</f>
        <v>2021</v>
      </c>
      <c r="JA11" s="3">
        <f>IM11+JA10</f>
        <v>1.8872541856209151</v>
      </c>
      <c r="JB11" s="353">
        <f>HLOOKUP('1 StrategyMix for CarbonTargets'!$V$46,'Stress calculations'!JI$8:JU$39,4,FALSE)</f>
        <v>1.9865833532851738</v>
      </c>
      <c r="JC11" s="3">
        <f>JC10+IK11</f>
        <v>1.9066666666666667</v>
      </c>
      <c r="JD11" s="353">
        <f>JC11/JF$10</f>
        <v>2.0070175438596491</v>
      </c>
      <c r="JE11" s="418">
        <f t="shared" ref="JE11:JE39" si="35">FM127</f>
        <v>0.89999999999999991</v>
      </c>
      <c r="JF11" s="368">
        <f>JF10+JE11</f>
        <v>1.8499999999999999</v>
      </c>
      <c r="JG11" s="369">
        <f>JF11/JF$10</f>
        <v>1.9473684210526316</v>
      </c>
      <c r="JH11" s="363">
        <f>FA11+JH10</f>
        <v>1.8872541856209151</v>
      </c>
      <c r="JI11" s="362">
        <f t="shared" ref="JI11:JI39" si="36">JH11/FA$10</f>
        <v>1.9865833532851738</v>
      </c>
      <c r="JJ11" s="366">
        <f t="shared" ref="JJ11:JJ39" si="37">FP11+JJ10</f>
        <v>1.8872541856209151</v>
      </c>
      <c r="JK11" s="367">
        <f t="shared" si="8"/>
        <v>1.9865833532851738</v>
      </c>
      <c r="JL11" s="363">
        <f t="shared" ref="JL11:JL39" si="38">GE11+JL10</f>
        <v>1.8872541856209151</v>
      </c>
      <c r="JM11" s="362">
        <f t="shared" ref="JM11:JM40" si="39">JL11/GE$10</f>
        <v>1.9865833532851738</v>
      </c>
      <c r="JN11" s="366">
        <f>GT11+JN10</f>
        <v>1.8872541856209151</v>
      </c>
      <c r="JO11" s="367">
        <f t="shared" ref="JO11:JO40" si="40">JN11/GT$10</f>
        <v>1.9865833532851738</v>
      </c>
      <c r="JP11" s="363">
        <f>HI11+JP10</f>
        <v>1.8872541856209151</v>
      </c>
      <c r="JQ11" s="362">
        <f t="shared" ref="JQ11:JQ40" si="41">JP11/HI$10</f>
        <v>1.9865833532851738</v>
      </c>
      <c r="JR11" s="366">
        <f>HX11+JR10</f>
        <v>1.8872541856209151</v>
      </c>
      <c r="JS11" s="367">
        <f t="shared" ref="JS11:JS40" si="42">JR11/HX$10</f>
        <v>1.9865833532851738</v>
      </c>
      <c r="JT11" s="363">
        <f>IM11+JT10</f>
        <v>1.8872541856209151</v>
      </c>
      <c r="JU11" s="362">
        <f t="shared" ref="JU11:JU40" si="43">JT11/IM$10</f>
        <v>1.9865833532851738</v>
      </c>
    </row>
    <row r="12" spans="1:281">
      <c r="A12" s="247"/>
      <c r="B12" s="247"/>
      <c r="C12" s="247"/>
      <c r="D12" s="247"/>
      <c r="E12" s="247"/>
      <c r="F12" s="247"/>
      <c r="J12">
        <v>2050</v>
      </c>
      <c r="L12" s="64">
        <f>K9+L9</f>
        <v>0.95</v>
      </c>
      <c r="M12" s="64">
        <f>L12+M9</f>
        <v>1.1499999999999999</v>
      </c>
      <c r="O12" s="64">
        <f>M12+O9</f>
        <v>1.11544</v>
      </c>
      <c r="P12" s="64">
        <f>O12+P9</f>
        <v>1.10704</v>
      </c>
      <c r="Q12" s="64">
        <f>P12+Q9</f>
        <v>1.0800400000000001</v>
      </c>
      <c r="R12" s="64">
        <f>Q12+R9</f>
        <v>0.99904000000000015</v>
      </c>
      <c r="T12" s="64">
        <f>R12+T9</f>
        <v>0.93860204379562062</v>
      </c>
      <c r="U12" s="64">
        <f>T12+U9</f>
        <v>0.81334656934306582</v>
      </c>
      <c r="V12" s="64">
        <f>U12+V9</f>
        <v>0.51903999999999995</v>
      </c>
      <c r="Z12" s="64">
        <f>V12+Z9</f>
        <v>0.41723199999999999</v>
      </c>
      <c r="AB12" s="64">
        <f>Z12+AA9+AB9</f>
        <v>0.38085910010434781</v>
      </c>
      <c r="AD12" s="64">
        <f>AB12+AC9+AD9</f>
        <v>0.34448620020869558</v>
      </c>
      <c r="AF12" s="64">
        <f>AD12+AE9+AF9</f>
        <v>0.27174040041739117</v>
      </c>
      <c r="AH12" s="64">
        <f>AF12+AG9+AH9</f>
        <v>0.19899460062608681</v>
      </c>
      <c r="AJ12" s="64">
        <f>AH12+AI9+AJ9</f>
        <v>0.1262488008347824</v>
      </c>
      <c r="AL12" s="64">
        <f>AJ12+AK9+AL9</f>
        <v>5.3503001043478063E-2</v>
      </c>
      <c r="AM12" s="269">
        <f>(Z12-AL12)/100</f>
        <v>3.6372899895652194E-3</v>
      </c>
      <c r="AN12">
        <f>INT((Z12-0.1)/AM12)</f>
        <v>87</v>
      </c>
      <c r="AO12" s="89">
        <v>2022</v>
      </c>
      <c r="AP12" s="170">
        <f>IF($AO12&gt;=AP$6,IF($AO12&lt;=AP$9,AP$4/(AP$9-AP$6+1)+AP11,AP$4),0)</f>
        <v>-1.92E-3</v>
      </c>
      <c r="AQ12" s="170">
        <f>IF($AO12&gt;=AQ$6,IF($AO12&lt;=AQ$9,AQ$4/(AQ$9-AQ$6+1)+AQ11,AQ$4),0)</f>
        <v>0</v>
      </c>
      <c r="AR12" s="170">
        <f>IF($AO12&gt;=AR$6,IF($AO12&lt;=AR$9,AR$4/(AR$9-AR$6+1)+AR11,AR$4),0)</f>
        <v>0</v>
      </c>
      <c r="AS12" s="170">
        <f>IF($AO12&gt;=AS$6,IF($AO12&lt;=AS$9,AS$4/(AS$9-AS$6+1)+AS11,AS$4),0)</f>
        <v>0</v>
      </c>
      <c r="AU12" s="170">
        <f>IF($AO12&gt;=AU$6,IF($AO12&lt;=AU$9,AU11+(T$4/(AU$9-AU$6+1))+((AU$4-T$4)*(1-$BZ12))/(AU$9-AU$6+1),AU11),0)</f>
        <v>-3.3576642335766431E-3</v>
      </c>
      <c r="AV12" s="170">
        <f>IF($AO12&gt;=AV$6,IF($AO12&lt;=AV$9,AV11+(U$4/(AV$9-AV$6+1))+((AV$4-U$4)*(1-$BZ12))/(AV$9-AV$6+1),AV11),0)</f>
        <v>-6.9586374695863743E-3</v>
      </c>
      <c r="AW12" s="170">
        <f>IF($AO12&gt;=AW$6,IF($AO12&lt;=AW$9,AW11+(V$4/(AW$9-AW$6+1))+((AW$4-V$4)*(1-$BZ12))/(AW$9-AW$6+1),AW11),0)</f>
        <v>-1.6350364963503651E-2</v>
      </c>
      <c r="AY12" s="170">
        <f>IF($AO12&gt;=AY$6,IF($AO12&lt;=AY$9,AY$4/(AY$9-AY$6+1)+AY11,AY$4),0)</f>
        <v>-9.9811764705882312E-3</v>
      </c>
      <c r="AZ12" s="278">
        <f>IF($AO12&gt;=AZ$6,IF($AO12&lt;=AZ$9,(($AZ$4)/(AZ$9-AZ$6))+AZ11,AZ$4),0)</f>
        <v>0</v>
      </c>
      <c r="BA12" s="284">
        <f>IF($AO12&gt;=BA$6,IF($AO12&lt;=BA$9,(BA$4-AB$5)/(BA$9-BA$6+1)+BA11,BA$4),0)</f>
        <v>-2.1096093078260846E-2</v>
      </c>
      <c r="BB12" s="276">
        <f>IF($AO12&gt;=BB$6,IF($AO12&lt;=BB$9,(BB$4/(BB$9-BB$6+1))+BB11,BB$4),0)</f>
        <v>0</v>
      </c>
      <c r="BC12" s="277">
        <f>BB12*(BA12/BA$4)</f>
        <v>0</v>
      </c>
      <c r="BD12" s="278">
        <f>IF($AO12&gt;=BD$6,IF($AO12&lt;=BD$9,(($BD$4)/(BD$9-BD$6))+BD11,BD$4),0)</f>
        <v>0</v>
      </c>
      <c r="BE12" s="284">
        <f>IF($AO12&gt;=BE$6,IF($AO12&lt;=BE$9,(BE$4-AD$5)/(BE$9-BE$6+1)+BE11,BE$4),0)</f>
        <v>-2.1096093078260887E-2</v>
      </c>
      <c r="BF12" s="276">
        <f>IF($AO12&gt;=BF$6,IF($AO12&lt;=BF$9,(BF$4/(BF$9-BF$6+1))+BF11,BF$4),0)</f>
        <v>0</v>
      </c>
      <c r="BG12" s="277">
        <f t="shared" si="9"/>
        <v>0</v>
      </c>
      <c r="BH12" s="278">
        <f>IF($AO12&gt;=BH$6,IF($AO12&lt;=BH$9,(($BH$4)/(BH$9-BH$6+1))+BH11,BH$4),0)</f>
        <v>0</v>
      </c>
      <c r="BI12" s="284">
        <f>IF($AO12&gt;=BI$6,IF($AO12&lt;=BI$9,(BI$4-AF$5)/(BI$9-BI$6+1)+BI11,BI$4),0)</f>
        <v>-4.219218615652176E-2</v>
      </c>
      <c r="BJ12" s="276">
        <f>IF($AO12&gt;=BJ$6,IF($AO12&lt;=BJ$9,(BJ$4/(BJ$9-BJ$6+1))+BJ11,BJ$4),0)</f>
        <v>0</v>
      </c>
      <c r="BK12" s="277">
        <f t="shared" si="10"/>
        <v>0</v>
      </c>
      <c r="BL12" s="278">
        <f>IF($AO12&gt;=BL$6,IF($AO12&lt;=BL$9,(($BL$4)/(BL$9-BL$6+1))+BL11,BL$4),0)</f>
        <v>0</v>
      </c>
      <c r="BM12" s="284">
        <f>IF($AO12&gt;=BM$6,IF($AO12&lt;=BM$9,(BM$4-AH$5)/(BM$9-BM$6+1)+BM11,BM$4),0)</f>
        <v>-4.2192186156521719E-2</v>
      </c>
      <c r="BN12" s="276">
        <f>IF($AO12&gt;=BN$6,IF($AO12&lt;=BN$9,(BN$4/(BN$9-BN$6+1))+BN11,BN$4),0)</f>
        <v>0</v>
      </c>
      <c r="BO12" s="277">
        <f t="shared" si="11"/>
        <v>0</v>
      </c>
      <c r="BP12" s="278">
        <f>IF($AO12&gt;=BP$6,IF($AO12&lt;=BP$9,(($BP$4)/(BP$9-BP$6+1))+BP11,BP$4),0)</f>
        <v>0</v>
      </c>
      <c r="BQ12" s="284">
        <f>IF($AO12&gt;=BQ$6,IF($AO12&lt;=BQ$9,(BQ$4-AJ$5)/(BQ$9-BQ$6+1)+BQ11,BQ$4),0)</f>
        <v>-4.2192186156521774E-2</v>
      </c>
      <c r="BR12" s="276">
        <f>IF($AO12&gt;=BR$6,IF($AO12&lt;=BR$9,(BR$4/(BR$9-BR$6+1))+BR11,BR$4),0)</f>
        <v>0</v>
      </c>
      <c r="BS12" s="277">
        <f t="shared" si="12"/>
        <v>0</v>
      </c>
      <c r="BT12" s="278">
        <f>IF($AO12&gt;=BT$6,IF($AO12&lt;=BT$9,(($BT$4)/(BT$9-BT$6+1))+BT11,BT$4),0)</f>
        <v>0</v>
      </c>
      <c r="BU12" s="284">
        <f>IF($AO12&gt;=BU$6,IF($AO12&lt;=BU$9,(BU$4-AL$5)/(BU$9-BU$6+1)+BU11,BU$4),0)</f>
        <v>-4.2192186156521719E-2</v>
      </c>
      <c r="BV12" s="276">
        <f>IF($AO12&gt;=BV$6,IF($AO12&lt;=BV$9,(BV$4/(BV$9-BV$6+1))+BV11,BV$4),0)</f>
        <v>0</v>
      </c>
      <c r="BW12" s="278">
        <f t="shared" si="13"/>
        <v>0</v>
      </c>
      <c r="BX12" s="391">
        <f t="shared" ref="BX12:BX39" si="44">IF(BX$1=0,AY12,IF(BX$1=0.1,AY12+AZ12,IF(BX$1=0.2,AY12+AZ12+BD12,IF(BX$1=0.4,AY12+AZ12+BD12+BH12,IF(BX$1=0.6,AY12+AZ12+BD12+BH12+BL12,IF(BX$1=0.8,AY12+AZ12+BD12+BH12+BL12+BP12,IF(BX$1=1,AY12+AZ12+BD12+BH12+BL12++BP12+BT12,0)))))))</f>
        <v>-9.9811764705882312E-3</v>
      </c>
      <c r="BY12" s="388">
        <f t="shared" ref="BY12:BY40" si="45">IF(BY$1=0,0,IF(BY$1=0.1,BC12,IF(BY$1=0.2,BC12+BG12,IF(BY$1=0.4,BC12+BG12+BK12,IF(BY$1=0.6,BC12+BG12+BK12+BO12,IF(BY$1=0.8,BC12+BG12+BK12+BO12+BS12,IF(BY$1=1,BC12+BG12+BK12+BO12+BS12+BW12,0)))))))</f>
        <v>0</v>
      </c>
      <c r="BZ12" s="409">
        <f>IF($AO12&gt;=BZ$6,IF($AO12&lt;=BZ$9,(BY$1/(BZ$9-BZ$6+1)+BZ11),BZ$4+BZ11),0)</f>
        <v>0</v>
      </c>
      <c r="CB12" s="279">
        <f t="shared" si="14"/>
        <v>-3.8567843137254899E-2</v>
      </c>
      <c r="CC12" s="64">
        <f t="shared" si="15"/>
        <v>-3.8567843137254899E-2</v>
      </c>
      <c r="CD12" s="64">
        <f t="shared" si="16"/>
        <v>-3.8567843137254899E-2</v>
      </c>
      <c r="CE12" s="64">
        <f t="shared" si="17"/>
        <v>-3.8567843137254899E-2</v>
      </c>
      <c r="CF12" s="64">
        <f t="shared" si="18"/>
        <v>-3.8567843137254899E-2</v>
      </c>
      <c r="CG12" s="64">
        <f t="shared" si="19"/>
        <v>-3.8567843137254899E-2</v>
      </c>
      <c r="CH12" s="64">
        <f t="shared" si="20"/>
        <v>-3.8567843137254899E-2</v>
      </c>
      <c r="CI12">
        <v>2022</v>
      </c>
      <c r="CJ12" s="240"/>
      <c r="CL12">
        <v>2022</v>
      </c>
      <c r="CM12" s="3">
        <f t="shared" ref="CM12:CM40" si="46">1+$A$3</f>
        <v>0.95</v>
      </c>
      <c r="CN12" s="64">
        <f t="shared" si="21"/>
        <v>0.94807999999999992</v>
      </c>
      <c r="CO12" s="64">
        <f t="shared" si="21"/>
        <v>0.94807999999999992</v>
      </c>
      <c r="CP12" s="64">
        <f t="shared" si="21"/>
        <v>0.94807999999999992</v>
      </c>
      <c r="CQ12" s="64">
        <f t="shared" si="21"/>
        <v>0.94807999999999992</v>
      </c>
      <c r="CR12" s="64">
        <f t="shared" si="22"/>
        <v>0.94472233576642328</v>
      </c>
      <c r="CS12" s="64">
        <f t="shared" si="22"/>
        <v>0.93776369829683692</v>
      </c>
      <c r="CT12" s="64">
        <f t="shared" si="22"/>
        <v>0.92141333333333331</v>
      </c>
      <c r="CU12" s="64">
        <f t="shared" si="23"/>
        <v>0.91143215686274504</v>
      </c>
      <c r="CV12" s="64">
        <f t="shared" si="23"/>
        <v>0.91143215686274504</v>
      </c>
      <c r="CW12" s="65">
        <f t="shared" ref="CW12:CW40" si="47">CV12+BC12</f>
        <v>0.91143215686274504</v>
      </c>
      <c r="CX12" s="64">
        <f t="shared" ref="CX12:CX40" si="48">CV12+BD12</f>
        <v>0.91143215686274504</v>
      </c>
      <c r="CY12" s="65">
        <f t="shared" ref="CY12:CY40" si="49">CX12+BC12+BG12</f>
        <v>0.91143215686274504</v>
      </c>
      <c r="CZ12" s="64">
        <f t="shared" ref="CZ12:CZ40" si="50">CX12+BH12</f>
        <v>0.91143215686274504</v>
      </c>
      <c r="DA12" s="65">
        <f t="shared" ref="DA12:DA40" si="51">CZ12+BC12+BG12+BK12</f>
        <v>0.91143215686274504</v>
      </c>
      <c r="DB12" s="64">
        <f t="shared" ref="DB12:DB40" si="52">CZ12+BL12</f>
        <v>0.91143215686274504</v>
      </c>
      <c r="DC12" s="65">
        <f t="shared" ref="DC12:DC40" si="53">DB12+BC12+BG12+BK12+BO12</f>
        <v>0.91143215686274504</v>
      </c>
      <c r="DD12" s="64">
        <f t="shared" ref="DD12:DD40" si="54">DB12+BP12</f>
        <v>0.91143215686274504</v>
      </c>
      <c r="DE12" s="65">
        <f t="shared" ref="DE12:DE40" si="55">DD12+BC12+BG12+BK12+BO12+BS12</f>
        <v>0.91143215686274504</v>
      </c>
      <c r="DF12" s="64">
        <f t="shared" ref="DF12:DF40" si="56">DD12+BT12</f>
        <v>0.91143215686274504</v>
      </c>
      <c r="DG12" s="65">
        <f t="shared" ref="DG12:DG40" si="57">DF12+BC12+BG12+BK12+BO12+BS12+BW12</f>
        <v>0.91143215686274504</v>
      </c>
      <c r="DL12">
        <v>2022</v>
      </c>
      <c r="DM12" s="64">
        <f t="shared" ref="DM12:DM40" si="58">DG12</f>
        <v>0.91143215686274504</v>
      </c>
      <c r="DN12" s="64">
        <f t="shared" ref="DN12:DN40" si="59">DE12</f>
        <v>0.91143215686274504</v>
      </c>
      <c r="DO12" s="64">
        <f t="shared" ref="DO12:DO40" si="60">DC12</f>
        <v>0.91143215686274504</v>
      </c>
      <c r="DP12" s="64">
        <f t="shared" ref="DP12:DP40" si="61">DA12</f>
        <v>0.91143215686274504</v>
      </c>
      <c r="DQ12" s="64">
        <f t="shared" ref="DQ12:DQ40" si="62">CY12</f>
        <v>0.91143215686274504</v>
      </c>
      <c r="DR12" s="64">
        <f t="shared" ref="DR12:DR40" si="63">CW12</f>
        <v>0.91143215686274504</v>
      </c>
      <c r="DS12" s="64">
        <f t="shared" si="24"/>
        <v>0.91143215686274504</v>
      </c>
      <c r="DT12" s="64">
        <f t="shared" si="25"/>
        <v>0.92141333333333331</v>
      </c>
      <c r="DU12" s="64">
        <f t="shared" si="26"/>
        <v>0.93776369829683692</v>
      </c>
      <c r="DV12" s="64">
        <f t="shared" si="27"/>
        <v>0.94472233576642328</v>
      </c>
      <c r="DW12" s="64">
        <f t="shared" si="28"/>
        <v>0.94807999999999992</v>
      </c>
      <c r="DX12" s="64">
        <f t="shared" si="29"/>
        <v>0.94807999999999992</v>
      </c>
      <c r="DY12" s="64">
        <f t="shared" si="30"/>
        <v>0.94807999999999992</v>
      </c>
      <c r="DZ12" s="64">
        <f t="shared" si="31"/>
        <v>0.94807999999999992</v>
      </c>
      <c r="EA12" s="3">
        <f t="shared" ref="EA12:EA40" si="64">1+$A$3</f>
        <v>0.95</v>
      </c>
      <c r="EB12">
        <v>2022</v>
      </c>
      <c r="EC12" s="269">
        <f t="shared" ref="EC12:EC40" si="65">1-SUM(ED12:ER12)</f>
        <v>0.91143215686274504</v>
      </c>
      <c r="ED12" s="269">
        <f t="shared" ref="ED12:ED40" si="66">-$A$3</f>
        <v>0.05</v>
      </c>
      <c r="EE12" s="64">
        <f t="shared" si="32"/>
        <v>0</v>
      </c>
      <c r="EF12" s="64">
        <f t="shared" si="32"/>
        <v>0</v>
      </c>
      <c r="EG12" s="64">
        <f t="shared" si="32"/>
        <v>0</v>
      </c>
      <c r="EH12" s="64">
        <f t="shared" si="32"/>
        <v>0</v>
      </c>
      <c r="EI12" s="64">
        <f t="shared" si="32"/>
        <v>0</v>
      </c>
      <c r="EJ12" s="64">
        <f t="shared" si="32"/>
        <v>0</v>
      </c>
      <c r="EK12" s="64">
        <f t="shared" si="32"/>
        <v>9.9811764705882711E-3</v>
      </c>
      <c r="EL12" s="64">
        <f t="shared" si="32"/>
        <v>1.6350364963503616E-2</v>
      </c>
      <c r="EM12" s="64">
        <f t="shared" si="32"/>
        <v>6.9586374695863595E-3</v>
      </c>
      <c r="EN12" s="64">
        <f t="shared" si="32"/>
        <v>3.3576642335766405E-3</v>
      </c>
      <c r="EO12" s="64">
        <f t="shared" si="32"/>
        <v>0</v>
      </c>
      <c r="EP12" s="64">
        <f t="shared" si="32"/>
        <v>0</v>
      </c>
      <c r="EQ12" s="64">
        <f t="shared" si="32"/>
        <v>0</v>
      </c>
      <c r="ER12" s="64">
        <f t="shared" si="32"/>
        <v>1.9200000000000328E-3</v>
      </c>
      <c r="EX12" s="89">
        <v>2022</v>
      </c>
      <c r="EY12" s="278">
        <f t="shared" ref="EY12:EY40" si="67">EY$7+$A$3+((EX12-2020)*($A$6/30))</f>
        <v>0.96333333333333326</v>
      </c>
      <c r="EZ12" s="278"/>
      <c r="FA12" s="278">
        <f t="shared" ref="FA12:FA40" si="68">1-SUM(FC12:FK12)+(EY12-1)</f>
        <v>0.92425125228758165</v>
      </c>
      <c r="FB12" s="278">
        <f t="shared" si="33"/>
        <v>0.05</v>
      </c>
      <c r="FC12" s="64">
        <f t="shared" ref="FC12:FC40" si="69">-($BC12+$BG12+$BK12+$BO12+$BS12+$BW12)*(1+$EY12-$EY$10)</f>
        <v>0</v>
      </c>
      <c r="FD12" s="64">
        <f t="shared" ref="FD12:FD40" si="70">-($AY12+$AZ12+$BD12+$BH12+$BL12+$BP12+$BT12)*(1+$EY12-$EY$10)</f>
        <v>1.0114258823529409E-2</v>
      </c>
      <c r="FE12" s="64">
        <f t="shared" ref="FE12:FE40" si="71">$EL12*(1+$EY12-$EY$10)</f>
        <v>1.6568369829683665E-2</v>
      </c>
      <c r="FF12" s="64">
        <f t="shared" ref="FF12:FF40" si="72">$EM12*(1+$EY12-$EY$10)</f>
        <v>7.0514193025141784E-3</v>
      </c>
      <c r="FG12" s="64">
        <f t="shared" ref="FG12:FG40" si="73">$EN12*(1+$EY12-$EY$10)</f>
        <v>3.4024330900243294E-3</v>
      </c>
      <c r="FH12" s="64">
        <f t="shared" ref="FH12:FH40" si="74">$EO12*(1+$EY12-$EY$10)</f>
        <v>0</v>
      </c>
      <c r="FI12" s="64">
        <f t="shared" ref="FI12:FI40" si="75">$EP12*(1+$EY12-$EY$10)</f>
        <v>0</v>
      </c>
      <c r="FJ12" s="64">
        <f t="shared" ref="FJ12:FJ40" si="76">$EQ12*(1+$EY12-$EY$10)</f>
        <v>0</v>
      </c>
      <c r="FK12" s="280">
        <f t="shared" ref="FK12:FK40" si="77">$ER12*(1+$EY12-$EY$10)</f>
        <v>1.9456000000000334E-3</v>
      </c>
      <c r="FL12" s="64"/>
      <c r="FM12" s="89">
        <v>2022</v>
      </c>
      <c r="FN12" s="278">
        <f t="shared" ref="FN12:FN40" si="78">FN$7+$A$3+((FM12-2020)*($A$6/30))</f>
        <v>0.96333333333333326</v>
      </c>
      <c r="FP12" s="278">
        <f t="shared" ref="FP12:FP40" si="79">1-SUM(FR12:FZ12)+(FN12-1)</f>
        <v>0.92425125228758165</v>
      </c>
      <c r="FQ12" s="278">
        <f t="shared" ref="FQ12:FQ40" si="80">-$A$3</f>
        <v>0.05</v>
      </c>
      <c r="FR12" s="64">
        <f t="shared" ref="FR12:FR40" si="81">-($BC12+$BG12+$BK12+$BO12+$BS12)*(1+$EY12-$EY$10)</f>
        <v>0</v>
      </c>
      <c r="FS12" s="64">
        <f t="shared" ref="FS12:FS40" si="82">-($AY12+$AZ12+$BD12+$BH12+$BL12+$BP12)*(1+$EY12-$EY$10)</f>
        <v>1.0114258823529409E-2</v>
      </c>
      <c r="FT12" s="64">
        <f t="shared" ref="FT12:FT40" si="83">$EL12*(1+$EY12-$EY$10)</f>
        <v>1.6568369829683665E-2</v>
      </c>
      <c r="FU12" s="64">
        <f t="shared" ref="FU12:FU40" si="84">$EM12*(1+$EY12-$EY$10)</f>
        <v>7.0514193025141784E-3</v>
      </c>
      <c r="FV12" s="64">
        <f t="shared" ref="FV12:FV40" si="85">$EN12*(1+$EY12-$EY$10)</f>
        <v>3.4024330900243294E-3</v>
      </c>
      <c r="FW12" s="64">
        <f t="shared" ref="FW12:FW40" si="86">$EO12*(1+$EY12-$EY$10)</f>
        <v>0</v>
      </c>
      <c r="FX12" s="64">
        <f t="shared" ref="FX12:FX40" si="87">$EP12*(1+$EY12-$EY$10)</f>
        <v>0</v>
      </c>
      <c r="FY12" s="64">
        <f t="shared" ref="FY12:FY40" si="88">$EQ12*(1+$EY12-$EY$10)</f>
        <v>0</v>
      </c>
      <c r="FZ12" s="280">
        <f t="shared" ref="FZ12:FZ40" si="89">$ER12*(1+$EY12-$EY$10)</f>
        <v>1.9456000000000334E-3</v>
      </c>
      <c r="GA12" s="64"/>
      <c r="GB12" s="89">
        <v>2022</v>
      </c>
      <c r="GC12" s="278">
        <f t="shared" ref="GC12:GC40" si="90">GC$7+$A$3+((GB12-2020)*($A$6/30))</f>
        <v>0.96333333333333326</v>
      </c>
      <c r="GE12" s="278">
        <f t="shared" ref="GE12:GE40" si="91">1-SUM(GG12:GO12)+(GC12-1)</f>
        <v>0.92425125228758165</v>
      </c>
      <c r="GF12" s="278">
        <f t="shared" ref="GF12:GF40" si="92">-$A$3</f>
        <v>0.05</v>
      </c>
      <c r="GG12" s="64">
        <f t="shared" ref="GG12:GG40" si="93">-($BC12+$BG12+$BK12+$BO12)*(1+$EY12-$EY$10)</f>
        <v>0</v>
      </c>
      <c r="GH12" s="64">
        <f t="shared" ref="GH12:GH40" si="94">-($AY12+$AZ12+$BD12+$BH12+$BL12)*(1+$EY12-$EY$10)</f>
        <v>1.0114258823529409E-2</v>
      </c>
      <c r="GI12" s="64">
        <f t="shared" ref="GI12:GI40" si="95">$EL12*(1+$EY12-$EY$10)</f>
        <v>1.6568369829683665E-2</v>
      </c>
      <c r="GJ12" s="64">
        <f t="shared" ref="GJ12:GJ40" si="96">$EM12*(1+$EY12-$EY$10)</f>
        <v>7.0514193025141784E-3</v>
      </c>
      <c r="GK12" s="64">
        <f t="shared" ref="GK12:GK40" si="97">$EN12*(1+$EY12-$EY$10)</f>
        <v>3.4024330900243294E-3</v>
      </c>
      <c r="GL12" s="64">
        <f t="shared" ref="GL12:GL40" si="98">$EO12*(1+$EY12-$EY$10)</f>
        <v>0</v>
      </c>
      <c r="GM12" s="64">
        <f t="shared" ref="GM12:GM40" si="99">$EP12*(1+$EY12-$EY$10)</f>
        <v>0</v>
      </c>
      <c r="GN12" s="64">
        <f t="shared" ref="GN12:GN40" si="100">$EQ12*(1+$EY12-$EY$10)</f>
        <v>0</v>
      </c>
      <c r="GO12" s="280">
        <f t="shared" ref="GO12:GO40" si="101">$ER12*(1+$EY12-$EY$10)</f>
        <v>1.9456000000000334E-3</v>
      </c>
      <c r="GP12" s="64"/>
      <c r="GQ12" s="89">
        <v>2022</v>
      </c>
      <c r="GR12" s="278">
        <f t="shared" ref="GR12:GR40" si="102">GR$7+$A$3+((GQ12-2020)*($A$6/30))</f>
        <v>0.96333333333333326</v>
      </c>
      <c r="GT12" s="278">
        <f t="shared" ref="GT12:GT40" si="103">1-SUM(GV12:HD12)+(GR12-1)</f>
        <v>0.92425125228758165</v>
      </c>
      <c r="GU12" s="278">
        <f t="shared" ref="GU12:GU40" si="104">-$A$3</f>
        <v>0.05</v>
      </c>
      <c r="GV12" s="64">
        <f t="shared" ref="GV12:GV40" si="105">-($BC12+$BG12+$BK12)*(1+$EY12-$EY$10)</f>
        <v>0</v>
      </c>
      <c r="GW12" s="64">
        <f t="shared" ref="GW12:GW40" si="106">-($AY12+$AZ12+$BD12+$BH12)*(1+$EY12-$EY$10)</f>
        <v>1.0114258823529409E-2</v>
      </c>
      <c r="GX12" s="64">
        <f t="shared" ref="GX12:GX40" si="107">$EL12*(1+$EY12-$EY$10)</f>
        <v>1.6568369829683665E-2</v>
      </c>
      <c r="GY12" s="64">
        <f t="shared" ref="GY12:GY40" si="108">$EM12*(1+$EY12-$EY$10)</f>
        <v>7.0514193025141784E-3</v>
      </c>
      <c r="GZ12" s="64">
        <f t="shared" ref="GZ12:GZ40" si="109">$EN12*(1+$EY12-$EY$10)</f>
        <v>3.4024330900243294E-3</v>
      </c>
      <c r="HA12" s="64">
        <f t="shared" ref="HA12:HA40" si="110">$EO12*(1+$EY12-$EY$10)</f>
        <v>0</v>
      </c>
      <c r="HB12" s="64">
        <f t="shared" ref="HB12:HB40" si="111">$EP12*(1+$EY12-$EY$10)</f>
        <v>0</v>
      </c>
      <c r="HC12" s="64">
        <f t="shared" ref="HC12:HC40" si="112">$EQ12*(1+$EY12-$EY$10)</f>
        <v>0</v>
      </c>
      <c r="HD12" s="280">
        <f t="shared" ref="HD12:HD40" si="113">$ER12*(1+$EY12-$EY$10)</f>
        <v>1.9456000000000334E-3</v>
      </c>
      <c r="HE12" s="64"/>
      <c r="HF12" s="89">
        <v>2022</v>
      </c>
      <c r="HG12" s="278">
        <f t="shared" ref="HG12:HG40" si="114">HG$7+$A$3+((HF12-2020)*($A$6/30))</f>
        <v>0.96333333333333326</v>
      </c>
      <c r="HI12" s="278">
        <f t="shared" ref="HI12:HI40" si="115">1-SUM(HK12:HS12)+(HG12-1)</f>
        <v>0.92425125228758165</v>
      </c>
      <c r="HJ12" s="278">
        <f t="shared" ref="HJ12:HJ40" si="116">-$A$3</f>
        <v>0.05</v>
      </c>
      <c r="HK12" s="64">
        <f t="shared" ref="HK12:HK40" si="117">-($BC12+$BG12)*(1+$EY12-$EY$10)</f>
        <v>0</v>
      </c>
      <c r="HL12" s="64">
        <f t="shared" ref="HL12:HL40" si="118">-($AY12+$AZ12+$BD12)*(1+$EY12-$EY$10)</f>
        <v>1.0114258823529409E-2</v>
      </c>
      <c r="HM12" s="64">
        <f t="shared" ref="HM12:HM40" si="119">$EL12*(1+$EY12-$EY$10)</f>
        <v>1.6568369829683665E-2</v>
      </c>
      <c r="HN12" s="64">
        <f t="shared" ref="HN12:HN40" si="120">$EM12*(1+$EY12-$EY$10)</f>
        <v>7.0514193025141784E-3</v>
      </c>
      <c r="HO12" s="64">
        <f t="shared" ref="HO12:HO40" si="121">$EN12*(1+$EY12-$EY$10)</f>
        <v>3.4024330900243294E-3</v>
      </c>
      <c r="HP12" s="64">
        <f t="shared" ref="HP12:HP40" si="122">$EO12*(1+$EY12-$EY$10)</f>
        <v>0</v>
      </c>
      <c r="HQ12" s="64">
        <f t="shared" ref="HQ12:HQ40" si="123">$EP12*(1+$EY12-$EY$10)</f>
        <v>0</v>
      </c>
      <c r="HR12" s="64">
        <f t="shared" ref="HR12:HR40" si="124">$EQ12*(1+$EY12-$EY$10)</f>
        <v>0</v>
      </c>
      <c r="HS12" s="280">
        <f t="shared" ref="HS12:HS40" si="125">$ER12*(1+$EY12-$EY$10)</f>
        <v>1.9456000000000334E-3</v>
      </c>
      <c r="HT12" s="64"/>
      <c r="HU12" s="89">
        <v>2022</v>
      </c>
      <c r="HV12" s="278">
        <f t="shared" ref="HV12:HV40" si="126">HV$7+$A$3+((HU12-2020)*($A$6/30))</f>
        <v>0.96333333333333326</v>
      </c>
      <c r="HX12" s="278">
        <f t="shared" ref="HX12:HX40" si="127">1-SUM(HZ12:IH12)+(HV12-1)</f>
        <v>0.92425125228758165</v>
      </c>
      <c r="HY12" s="278">
        <f t="shared" ref="HY12:HY40" si="128">-$A$3</f>
        <v>0.05</v>
      </c>
      <c r="HZ12" s="64">
        <f t="shared" ref="HZ12:HZ40" si="129">-($BC12)*(1+$EY12-$EY$10)</f>
        <v>0</v>
      </c>
      <c r="IA12" s="64">
        <f t="shared" ref="IA12:IA40" si="130">-($AY12+$AZ12)*(1+$EY12-$EY$10)</f>
        <v>1.0114258823529409E-2</v>
      </c>
      <c r="IB12" s="64">
        <f t="shared" ref="IB12:IB40" si="131">$EL12*(1+$EY12-$EY$10)</f>
        <v>1.6568369829683665E-2</v>
      </c>
      <c r="IC12" s="64">
        <f t="shared" ref="IC12:IC40" si="132">$EM12*(1+$EY12-$EY$10)</f>
        <v>7.0514193025141784E-3</v>
      </c>
      <c r="ID12" s="64">
        <f t="shared" ref="ID12:ID40" si="133">$EN12*(1+$EY12-$EY$10)</f>
        <v>3.4024330900243294E-3</v>
      </c>
      <c r="IE12" s="64">
        <f t="shared" ref="IE12:IE40" si="134">$EO12*(1+$EY12-$EY$10)</f>
        <v>0</v>
      </c>
      <c r="IF12" s="64">
        <f t="shared" ref="IF12:IF40" si="135">$EP12*(1+$EY12-$EY$10)</f>
        <v>0</v>
      </c>
      <c r="IG12" s="64">
        <f t="shared" ref="IG12:IG40" si="136">$EQ12*(1+$EY12-$EY$10)</f>
        <v>0</v>
      </c>
      <c r="IH12" s="280">
        <f t="shared" ref="IH12:IH40" si="137">$ER12*(1+$EY12-$EY$10)</f>
        <v>1.9456000000000334E-3</v>
      </c>
      <c r="II12" s="64"/>
      <c r="IJ12" s="89">
        <v>2022</v>
      </c>
      <c r="IK12" s="278">
        <f t="shared" ref="IK12:IK40" si="138">IK$7+$A$3+((IJ12-2020)*($A$6/30))</f>
        <v>0.96333333333333326</v>
      </c>
      <c r="IM12" s="278">
        <f t="shared" ref="IM12:IM40" si="139">1-SUM(IO12:IW12)+(IK12-1)</f>
        <v>0.92425125228758165</v>
      </c>
      <c r="IN12" s="278">
        <f t="shared" ref="IN12:IN40" si="140">-$A$3</f>
        <v>0.05</v>
      </c>
      <c r="IO12" s="64">
        <v>0</v>
      </c>
      <c r="IP12" s="64">
        <f t="shared" ref="IP12:IP40" si="141">-$AY12*(1+$EY12-$EY$10)</f>
        <v>1.0114258823529409E-2</v>
      </c>
      <c r="IQ12" s="64">
        <f t="shared" ref="IQ12:IQ40" si="142">$EL12*(1+$EY12-$EY$10)</f>
        <v>1.6568369829683665E-2</v>
      </c>
      <c r="IR12" s="64">
        <f t="shared" ref="IR12:IR40" si="143">$EM12*(1+$EY12-$EY$10)</f>
        <v>7.0514193025141784E-3</v>
      </c>
      <c r="IS12" s="64">
        <f t="shared" ref="IS12:IS40" si="144">$EN12*(1+$EY12-$EY$10)</f>
        <v>3.4024330900243294E-3</v>
      </c>
      <c r="IT12" s="64">
        <f t="shared" ref="IT12:IT40" si="145">$EO12*(1+$EY12-$EY$10)</f>
        <v>0</v>
      </c>
      <c r="IU12" s="64">
        <f t="shared" ref="IU12:IU40" si="146">$EP12*(1+$EY12-$EY$10)</f>
        <v>0</v>
      </c>
      <c r="IV12" s="64">
        <f t="shared" ref="IV12:IV40" si="147">$EQ12*(1+$EY12-$EY$10)</f>
        <v>0</v>
      </c>
      <c r="IW12" s="280">
        <f t="shared" ref="IW12:IW40" si="148">$ER12*(1+$EY12-$EY$10)</f>
        <v>1.9456000000000334E-3</v>
      </c>
      <c r="IX12" s="64"/>
      <c r="IY12" s="3">
        <f t="shared" ref="IY12:IY40" si="149">JF12-JF11</f>
        <v>0.84999999999999987</v>
      </c>
      <c r="IZ12">
        <f t="shared" si="34"/>
        <v>2022</v>
      </c>
      <c r="JA12" s="3">
        <f t="shared" ref="JA12:JA39" si="150">IM12+JA11</f>
        <v>2.8115054379084965</v>
      </c>
      <c r="JB12" s="353">
        <f>HLOOKUP('1 StrategyMix for CarbonTargets'!$V$46,'Stress calculations'!JI$8:JU$39,5,FALSE)</f>
        <v>2.9594794083247331</v>
      </c>
      <c r="JC12" s="3">
        <f t="shared" ref="JC12:JC40" si="151">JC11+IK12</f>
        <v>2.87</v>
      </c>
      <c r="JD12" s="353">
        <f t="shared" ref="JD12:JD39" si="152">JC12/JF$10</f>
        <v>3.0210526315789474</v>
      </c>
      <c r="JE12" s="418">
        <f t="shared" si="35"/>
        <v>0.84999999999999987</v>
      </c>
      <c r="JF12" s="368">
        <f t="shared" ref="JF12:JF39" si="153">JF11+JE12</f>
        <v>2.6999999999999997</v>
      </c>
      <c r="JG12" s="369">
        <f t="shared" ref="JG12:JG39" si="154">JF12/JF$10</f>
        <v>2.8421052631578947</v>
      </c>
      <c r="JH12" s="363">
        <f t="shared" ref="JH12:JH39" si="155">FA12+JH11</f>
        <v>2.8115054379084965</v>
      </c>
      <c r="JI12" s="362">
        <f t="shared" si="36"/>
        <v>2.9594794083247331</v>
      </c>
      <c r="JJ12" s="366">
        <f t="shared" si="37"/>
        <v>2.8115054379084965</v>
      </c>
      <c r="JK12" s="367">
        <f t="shared" si="8"/>
        <v>2.9594794083247331</v>
      </c>
      <c r="JL12" s="363">
        <f t="shared" si="38"/>
        <v>2.8115054379084965</v>
      </c>
      <c r="JM12" s="362">
        <f t="shared" si="39"/>
        <v>2.9594794083247331</v>
      </c>
      <c r="JN12" s="366">
        <f t="shared" ref="JN12:JN39" si="156">GT12+JN11</f>
        <v>2.8115054379084965</v>
      </c>
      <c r="JO12" s="367">
        <f t="shared" si="40"/>
        <v>2.9594794083247331</v>
      </c>
      <c r="JP12" s="363">
        <f t="shared" ref="JP12:JP39" si="157">HI12+JP11</f>
        <v>2.8115054379084965</v>
      </c>
      <c r="JQ12" s="362">
        <f t="shared" si="41"/>
        <v>2.9594794083247331</v>
      </c>
      <c r="JR12" s="366">
        <f t="shared" ref="JR12:JR39" si="158">HX12+JR11</f>
        <v>2.8115054379084965</v>
      </c>
      <c r="JS12" s="367">
        <f t="shared" si="42"/>
        <v>2.9594794083247331</v>
      </c>
      <c r="JT12" s="363">
        <f t="shared" ref="JT12:JT39" si="159">IM12+JT11</f>
        <v>2.8115054379084965</v>
      </c>
      <c r="JU12" s="362">
        <f t="shared" si="43"/>
        <v>2.9594794083247331</v>
      </c>
    </row>
    <row r="13" spans="1:281">
      <c r="A13" s="259"/>
      <c r="B13" s="247"/>
      <c r="C13" s="247"/>
      <c r="D13" s="247"/>
      <c r="E13" s="247"/>
      <c r="F13" s="247"/>
      <c r="AM13" s="416"/>
      <c r="AO13" s="89">
        <v>2023</v>
      </c>
      <c r="AP13" s="170">
        <f t="shared" ref="AP13:AS40" si="160">IF($AO13&gt;=AP$6,IF($AO13&lt;=AP$9,AP$4/(AP$9-AP$6+1)+AP12,AP$4),0)</f>
        <v>-2.8800000000000002E-3</v>
      </c>
      <c r="AQ13" s="170">
        <f t="shared" si="160"/>
        <v>-2.5000000000000006E-4</v>
      </c>
      <c r="AR13" s="170">
        <f t="shared" si="160"/>
        <v>0</v>
      </c>
      <c r="AS13" s="170">
        <f t="shared" si="160"/>
        <v>0</v>
      </c>
      <c r="AU13" s="170">
        <f t="shared" ref="AU13:AU40" si="161">IF($AO13&gt;=AU$6,IF($AO13&lt;=AU$9,AU12+(T$4/(AU$9-AU$6+1))+((AU$4-T$4)*(1-$BZ13))/(AU$9-AU$6+1),AU12),0)</f>
        <v>-5.0364963503649642E-3</v>
      </c>
      <c r="AV13" s="170">
        <f t="shared" ref="AV13:AV40" si="162">IF($AO13&gt;=AV$6,IF($AO13&lt;=AV$9,AV12+(U$4/(AV$9-AV$6+1))+((AV$4-U$4)*(1-$BZ13))/(AV$9-AV$6+1),AV12),0)</f>
        <v>-1.0437956204379562E-2</v>
      </c>
      <c r="AW13" s="170">
        <f t="shared" ref="AW13:AW40" si="163">IF($AO13&gt;=AW$6,IF($AO13&lt;=AW$9,AW12+(V$4/(AW$9-AW$6+1))+((AW$4-V$4)*(1-$BZ13))/(AW$9-AW$6+1),AW12),0)</f>
        <v>-2.4525547445255477E-2</v>
      </c>
      <c r="AY13" s="170">
        <f t="shared" ref="AY13:AY40" si="164">IF($AO13&gt;=AY$6,IF($AO13&lt;=AY$9,AY$4/(AY$9-AY$6+1)+AY12,AY$4),0)</f>
        <v>-1.4971764705882348E-2</v>
      </c>
      <c r="AZ13" s="278">
        <f t="shared" ref="AZ13:AZ40" si="165">IF($AO13&gt;=AZ$6,IF($AO13&lt;=AZ$9,(($AZ$4)/(AZ$9-AZ$6))+AZ12,AZ$4),0)</f>
        <v>4.9905882352941158E-4</v>
      </c>
      <c r="BA13" s="284">
        <f t="shared" ref="BA13:BA40" si="166">IF($AO13&gt;=BA$6,IF($AO13&lt;=BA$9,(BA$4-AB$5)/(BA$9-BA$6+1)+BA12,BA$4),0)</f>
        <v>-2.1728187965217367E-2</v>
      </c>
      <c r="BB13" s="276">
        <f t="shared" ref="BB13:BB40" si="167">IF($AO13&gt;=BB$6,IF($AO13&lt;=BB$9,(BB$4/(BB$9-BB$6+1))+BB12,BB$4),0)</f>
        <v>-2.1552638840579698E-3</v>
      </c>
      <c r="BC13" s="277">
        <f t="shared" ref="BC13:BC40" si="168">BB13*(BA13/BA$4)</f>
        <v>-1.207121553623187E-3</v>
      </c>
      <c r="BD13" s="278">
        <f t="shared" ref="BD13:BD40" si="169">IF($AO13&gt;=BD$6,IF($AO13&lt;=BD$9,(($BD$4)/(BD$9-BD$6))+BD12,BD$4),0)</f>
        <v>4.9905882352941158E-4</v>
      </c>
      <c r="BE13" s="284">
        <f t="shared" ref="BE13:BE40" si="170">IF($AO13&gt;=BE$6,IF($AO13&lt;=BE$9,(BE$4-AD$5)/(BE$9-BE$6+1)+BE12,BE$4),0)</f>
        <v>-2.1728187965217409E-2</v>
      </c>
      <c r="BF13" s="276">
        <f t="shared" ref="BF13:BF40" si="171">IF($AO13&gt;=BF$6,IF($AO13&lt;=BF$9,(BF$4/(BF$9-BF$6+1))+BF12,BF$4),0)</f>
        <v>-2.1552638840579698E-3</v>
      </c>
      <c r="BG13" s="277">
        <f t="shared" si="9"/>
        <v>-1.2071215536231894E-3</v>
      </c>
      <c r="BH13" s="278">
        <f t="shared" ref="BH13:BH40" si="172">IF($AO13&gt;=BH$6,IF($AO13&lt;=BH$9,(($BH$4)/(BH$9-BH$6+1))+BH12,BH$4),0)</f>
        <v>9.4266666666666631E-4</v>
      </c>
      <c r="BI13" s="284">
        <f t="shared" ref="BI13:BI40" si="173">IF($AO13&gt;=BI$6,IF($AO13&lt;=BI$9,(BI$4-AF$5)/(BI$9-BI$6+1)+BI12,BI$4),0)</f>
        <v>-4.3456375930434804E-2</v>
      </c>
      <c r="BJ13" s="276">
        <f t="shared" ref="BJ13:BJ40" si="174">IF($AO13&gt;=BJ$6,IF($AO13&lt;=BJ$9,(BJ$4/(BJ$9-BJ$6+1))+BJ12,BJ$4),0)</f>
        <v>-4.3105277681159456E-3</v>
      </c>
      <c r="BK13" s="277">
        <f t="shared" si="10"/>
        <v>-2.414243107246378E-3</v>
      </c>
      <c r="BL13" s="278">
        <f t="shared" ref="BL13:BL40" si="175">IF($AO13&gt;=BL$6,IF($AO13&lt;=BL$9,(($BL$4)/(BL$9-BL$6+1))+BL12,BL$4),0)</f>
        <v>9.4266666666666631E-4</v>
      </c>
      <c r="BM13" s="284">
        <f t="shared" ref="BM13:BM40" si="176">IF($AO13&gt;=BM$6,IF($AO13&lt;=BM$9,(BM$4-AH$5)/(BM$9-BM$6+1)+BM12,BM$4),0)</f>
        <v>-4.3456375930434762E-2</v>
      </c>
      <c r="BN13" s="276">
        <f t="shared" ref="BN13:BN40" si="177">IF($AO13&gt;=BN$6,IF($AO13&lt;=BN$9,(BN$4/(BN$9-BN$6+1))+BN12,BN$4),0)</f>
        <v>-4.3105277681159378E-3</v>
      </c>
      <c r="BO13" s="277">
        <f t="shared" si="11"/>
        <v>-2.4142431072463754E-3</v>
      </c>
      <c r="BP13" s="278">
        <f t="shared" ref="BP13:BP40" si="178">IF($AO13&gt;=BP$6,IF($AO13&lt;=BP$9,(($BP$4)/(BP$9-BP$6+1))+BP12,BP$4),0)</f>
        <v>9.4266666666666631E-4</v>
      </c>
      <c r="BQ13" s="284">
        <f t="shared" ref="BQ13:BQ40" si="179">IF($AO13&gt;=BQ$6,IF($AO13&lt;=BQ$9,(BQ$4-AJ$5)/(BQ$9-BQ$6+1)+BQ12,BQ$4),0)</f>
        <v>-4.3456375930434818E-2</v>
      </c>
      <c r="BR13" s="276">
        <f t="shared" ref="BR13:BR40" si="180">IF($AO13&gt;=BR$6,IF($AO13&lt;=BR$9,(BR$4/(BR$9-BR$6+1))+BR12,BR$4),0)</f>
        <v>-4.3105277681159439E-3</v>
      </c>
      <c r="BS13" s="277">
        <f t="shared" si="12"/>
        <v>-2.4142431072463784E-3</v>
      </c>
      <c r="BT13" s="278">
        <f t="shared" ref="BT13:BT40" si="181">IF($AO13&gt;=BT$6,IF($AO13&lt;=BT$9,(($BT$4)/(BT$9-BT$6+1))+BT12,BT$4),0)</f>
        <v>9.4266666666666631E-4</v>
      </c>
      <c r="BU13" s="284">
        <f t="shared" ref="BU13:BU40" si="182">IF($AO13&gt;=BU$6,IF($AO13&lt;=BU$9,(BU$4-AL$5)/(BU$9-BU$6+1)+BU12,BU$4),0)</f>
        <v>-4.3456375930434762E-2</v>
      </c>
      <c r="BV13" s="276">
        <f t="shared" ref="BV13:BV40" si="183">IF($AO13&gt;=BV$6,IF($AO13&lt;=BV$9,(BV$4/(BV$9-BV$6+1))+BV12,BV$4),0)</f>
        <v>-4.3105277681159413E-3</v>
      </c>
      <c r="BW13" s="278">
        <f t="shared" si="13"/>
        <v>-2.4142431072463758E-3</v>
      </c>
      <c r="BX13" s="391">
        <f t="shared" si="44"/>
        <v>-1.1145647058823526E-2</v>
      </c>
      <c r="BY13" s="388">
        <f t="shared" si="45"/>
        <v>-9.6569724289855084E-3</v>
      </c>
      <c r="BZ13" s="409">
        <f t="shared" ref="BZ13:BZ40" si="184">IF($AO13&gt;=BZ$6,IF($AO13&lt;=BZ$9,(BY$1/(BZ$9-BZ$6+1)+BZ12),BZ$4+BZ12),0)</f>
        <v>4.4444444444444446E-2</v>
      </c>
      <c r="CB13" s="279">
        <f t="shared" si="14"/>
        <v>-5.8101764705882353E-2</v>
      </c>
      <c r="CC13" s="64">
        <f t="shared" si="15"/>
        <v>-5.8809827435976125E-2</v>
      </c>
      <c r="CD13" s="64">
        <f t="shared" si="16"/>
        <v>-5.9517890166069898E-2</v>
      </c>
      <c r="CE13" s="64">
        <f t="shared" si="17"/>
        <v>-6.0989466606649605E-2</v>
      </c>
      <c r="CF13" s="64">
        <f t="shared" si="18"/>
        <v>-6.2461043047229312E-2</v>
      </c>
      <c r="CG13" s="64">
        <f t="shared" si="19"/>
        <v>-6.3932619487809025E-2</v>
      </c>
      <c r="CH13" s="64">
        <f t="shared" si="20"/>
        <v>-6.5404195928388739E-2</v>
      </c>
      <c r="CI13">
        <v>2023</v>
      </c>
      <c r="CJ13" s="240"/>
      <c r="CL13">
        <v>2023</v>
      </c>
      <c r="CM13" s="3">
        <f t="shared" si="46"/>
        <v>0.95</v>
      </c>
      <c r="CN13" s="64">
        <f t="shared" si="21"/>
        <v>0.94711999999999996</v>
      </c>
      <c r="CO13" s="64">
        <f t="shared" si="21"/>
        <v>0.94686999999999999</v>
      </c>
      <c r="CP13" s="64">
        <f t="shared" si="21"/>
        <v>0.94686999999999999</v>
      </c>
      <c r="CQ13" s="64">
        <f t="shared" si="21"/>
        <v>0.94686999999999999</v>
      </c>
      <c r="CR13" s="64">
        <f t="shared" si="22"/>
        <v>0.94183350364963503</v>
      </c>
      <c r="CS13" s="64">
        <f t="shared" si="22"/>
        <v>0.93139554744525543</v>
      </c>
      <c r="CT13" s="64">
        <f t="shared" si="22"/>
        <v>0.90686999999999995</v>
      </c>
      <c r="CU13" s="64">
        <f t="shared" si="23"/>
        <v>0.8918982352941176</v>
      </c>
      <c r="CV13" s="64">
        <f t="shared" si="23"/>
        <v>0.89239729411764701</v>
      </c>
      <c r="CW13" s="65">
        <f t="shared" si="47"/>
        <v>0.89119017256402377</v>
      </c>
      <c r="CX13" s="64">
        <f t="shared" si="48"/>
        <v>0.89289635294117642</v>
      </c>
      <c r="CY13" s="65">
        <f t="shared" si="49"/>
        <v>0.89048210983392995</v>
      </c>
      <c r="CZ13" s="64">
        <f t="shared" si="50"/>
        <v>0.89383901960784307</v>
      </c>
      <c r="DA13" s="65">
        <f t="shared" si="51"/>
        <v>0.88901053339335023</v>
      </c>
      <c r="DB13" s="64">
        <f t="shared" si="52"/>
        <v>0.89478168627450971</v>
      </c>
      <c r="DC13" s="65">
        <f t="shared" si="53"/>
        <v>0.88753895695277052</v>
      </c>
      <c r="DD13" s="64">
        <f t="shared" si="54"/>
        <v>0.89572435294117636</v>
      </c>
      <c r="DE13" s="65">
        <f t="shared" si="55"/>
        <v>0.88606738051219081</v>
      </c>
      <c r="DF13" s="64">
        <f t="shared" si="56"/>
        <v>0.89666701960784301</v>
      </c>
      <c r="DG13" s="65">
        <f t="shared" si="57"/>
        <v>0.88459580407161109</v>
      </c>
      <c r="DL13">
        <v>2023</v>
      </c>
      <c r="DM13" s="64">
        <f t="shared" si="58"/>
        <v>0.88459580407161109</v>
      </c>
      <c r="DN13" s="64">
        <f t="shared" si="59"/>
        <v>0.88606738051219081</v>
      </c>
      <c r="DO13" s="64">
        <f t="shared" si="60"/>
        <v>0.88753895695277052</v>
      </c>
      <c r="DP13" s="64">
        <f t="shared" si="61"/>
        <v>0.88901053339335023</v>
      </c>
      <c r="DQ13" s="64">
        <f t="shared" si="62"/>
        <v>0.89048210983392995</v>
      </c>
      <c r="DR13" s="64">
        <f t="shared" si="63"/>
        <v>0.89119017256402377</v>
      </c>
      <c r="DS13" s="64">
        <f t="shared" si="24"/>
        <v>0.8918982352941176</v>
      </c>
      <c r="DT13" s="64">
        <f t="shared" si="25"/>
        <v>0.90686999999999995</v>
      </c>
      <c r="DU13" s="64">
        <f t="shared" si="26"/>
        <v>0.93139554744525543</v>
      </c>
      <c r="DV13" s="64">
        <f t="shared" si="27"/>
        <v>0.94183350364963503</v>
      </c>
      <c r="DW13" s="64">
        <f t="shared" si="28"/>
        <v>0.94686999999999999</v>
      </c>
      <c r="DX13" s="64">
        <f t="shared" si="29"/>
        <v>0.94686999999999999</v>
      </c>
      <c r="DY13" s="64">
        <f t="shared" si="30"/>
        <v>0.94686999999999999</v>
      </c>
      <c r="DZ13" s="64">
        <f t="shared" si="31"/>
        <v>0.94711999999999996</v>
      </c>
      <c r="EA13" s="3">
        <f t="shared" si="64"/>
        <v>0.95</v>
      </c>
      <c r="EB13">
        <v>2023</v>
      </c>
      <c r="EC13" s="269">
        <f t="shared" si="65"/>
        <v>0.88459580407161109</v>
      </c>
      <c r="ED13" s="269">
        <f t="shared" si="66"/>
        <v>0.05</v>
      </c>
      <c r="EE13" s="64">
        <f t="shared" si="32"/>
        <v>1.4715764405797138E-3</v>
      </c>
      <c r="EF13" s="64">
        <f t="shared" si="32"/>
        <v>1.4715764405797138E-3</v>
      </c>
      <c r="EG13" s="64">
        <f t="shared" si="32"/>
        <v>1.4715764405797138E-3</v>
      </c>
      <c r="EH13" s="64">
        <f t="shared" si="32"/>
        <v>1.4715764405797138E-3</v>
      </c>
      <c r="EI13" s="64">
        <f t="shared" si="32"/>
        <v>7.0806273009382803E-4</v>
      </c>
      <c r="EJ13" s="64">
        <f t="shared" si="32"/>
        <v>7.0806273009382803E-4</v>
      </c>
      <c r="EK13" s="64">
        <f t="shared" si="32"/>
        <v>1.4971764705882351E-2</v>
      </c>
      <c r="EL13" s="64">
        <f t="shared" si="32"/>
        <v>2.452554744525548E-2</v>
      </c>
      <c r="EM13" s="64">
        <f t="shared" si="32"/>
        <v>1.0437956204379595E-2</v>
      </c>
      <c r="EN13" s="64">
        <f t="shared" si="32"/>
        <v>5.0364963503649607E-3</v>
      </c>
      <c r="EO13" s="64">
        <f t="shared" si="32"/>
        <v>0</v>
      </c>
      <c r="EP13" s="64">
        <f t="shared" si="32"/>
        <v>0</v>
      </c>
      <c r="EQ13" s="64">
        <f t="shared" si="32"/>
        <v>2.4999999999997247E-4</v>
      </c>
      <c r="ER13" s="64">
        <f t="shared" si="32"/>
        <v>2.8799999999999937E-3</v>
      </c>
      <c r="EX13" s="89">
        <v>2023</v>
      </c>
      <c r="EY13" s="278">
        <f t="shared" si="67"/>
        <v>0.97</v>
      </c>
      <c r="EZ13" s="278"/>
      <c r="FA13" s="278">
        <f t="shared" si="68"/>
        <v>0.90328772015304348</v>
      </c>
      <c r="FB13" s="278">
        <f t="shared" si="33"/>
        <v>0.05</v>
      </c>
      <c r="FC13" s="64">
        <f t="shared" si="69"/>
        <v>1.2312639846956522E-2</v>
      </c>
      <c r="FD13" s="64">
        <f t="shared" si="70"/>
        <v>1.0407039999999998E-2</v>
      </c>
      <c r="FE13" s="64">
        <f t="shared" si="71"/>
        <v>2.501605839416059E-2</v>
      </c>
      <c r="FF13" s="64">
        <f t="shared" si="72"/>
        <v>1.0646715328467187E-2</v>
      </c>
      <c r="FG13" s="64">
        <f t="shared" si="73"/>
        <v>5.1372262773722597E-3</v>
      </c>
      <c r="FH13" s="64">
        <f t="shared" si="74"/>
        <v>0</v>
      </c>
      <c r="FI13" s="64">
        <f t="shared" si="75"/>
        <v>0</v>
      </c>
      <c r="FJ13" s="64">
        <f t="shared" si="76"/>
        <v>2.5499999999997194E-4</v>
      </c>
      <c r="FK13" s="280">
        <f t="shared" si="77"/>
        <v>2.9375999999999938E-3</v>
      </c>
      <c r="FL13" s="64"/>
      <c r="FM13" s="89">
        <v>2023</v>
      </c>
      <c r="FN13" s="278">
        <f t="shared" si="78"/>
        <v>0.97</v>
      </c>
      <c r="FP13" s="278">
        <f t="shared" si="79"/>
        <v>0.90478872812243472</v>
      </c>
      <c r="FQ13" s="278">
        <f t="shared" si="80"/>
        <v>0.05</v>
      </c>
      <c r="FR13" s="64">
        <f t="shared" si="81"/>
        <v>9.8501118775652183E-3</v>
      </c>
      <c r="FS13" s="64">
        <f t="shared" si="82"/>
        <v>1.1368559999999996E-2</v>
      </c>
      <c r="FT13" s="64">
        <f t="shared" si="83"/>
        <v>2.501605839416059E-2</v>
      </c>
      <c r="FU13" s="64">
        <f t="shared" si="84"/>
        <v>1.0646715328467187E-2</v>
      </c>
      <c r="FV13" s="64">
        <f t="shared" si="85"/>
        <v>5.1372262773722597E-3</v>
      </c>
      <c r="FW13" s="64">
        <f t="shared" si="86"/>
        <v>0</v>
      </c>
      <c r="FX13" s="64">
        <f t="shared" si="87"/>
        <v>0</v>
      </c>
      <c r="FY13" s="64">
        <f t="shared" si="88"/>
        <v>2.5499999999997194E-4</v>
      </c>
      <c r="FZ13" s="280">
        <f t="shared" si="89"/>
        <v>2.9375999999999938E-3</v>
      </c>
      <c r="GA13" s="64"/>
      <c r="GB13" s="89">
        <v>2023</v>
      </c>
      <c r="GC13" s="278">
        <f t="shared" si="90"/>
        <v>0.97</v>
      </c>
      <c r="GE13" s="278">
        <f t="shared" si="91"/>
        <v>0.90628973609182606</v>
      </c>
      <c r="GF13" s="278">
        <f t="shared" si="92"/>
        <v>0.05</v>
      </c>
      <c r="GG13" s="64">
        <f t="shared" si="93"/>
        <v>7.3875839081739125E-3</v>
      </c>
      <c r="GH13" s="64">
        <f t="shared" si="94"/>
        <v>1.2330079999999997E-2</v>
      </c>
      <c r="GI13" s="64">
        <f t="shared" si="95"/>
        <v>2.501605839416059E-2</v>
      </c>
      <c r="GJ13" s="64">
        <f t="shared" si="96"/>
        <v>1.0646715328467187E-2</v>
      </c>
      <c r="GK13" s="64">
        <f t="shared" si="97"/>
        <v>5.1372262773722597E-3</v>
      </c>
      <c r="GL13" s="64">
        <f t="shared" si="98"/>
        <v>0</v>
      </c>
      <c r="GM13" s="64">
        <f t="shared" si="99"/>
        <v>0</v>
      </c>
      <c r="GN13" s="64">
        <f t="shared" si="100"/>
        <v>2.5499999999997194E-4</v>
      </c>
      <c r="GO13" s="280">
        <f t="shared" si="101"/>
        <v>2.9375999999999938E-3</v>
      </c>
      <c r="GP13" s="64"/>
      <c r="GQ13" s="89">
        <v>2023</v>
      </c>
      <c r="GR13" s="278">
        <f t="shared" si="102"/>
        <v>0.97</v>
      </c>
      <c r="GT13" s="278">
        <f t="shared" si="103"/>
        <v>0.9077907440612174</v>
      </c>
      <c r="GU13" s="278">
        <f t="shared" si="104"/>
        <v>0.05</v>
      </c>
      <c r="GV13" s="64">
        <f t="shared" si="105"/>
        <v>4.92505593878261E-3</v>
      </c>
      <c r="GW13" s="64">
        <f t="shared" si="106"/>
        <v>1.3291599999999995E-2</v>
      </c>
      <c r="GX13" s="64">
        <f t="shared" si="107"/>
        <v>2.501605839416059E-2</v>
      </c>
      <c r="GY13" s="64">
        <f t="shared" si="108"/>
        <v>1.0646715328467187E-2</v>
      </c>
      <c r="GZ13" s="64">
        <f t="shared" si="109"/>
        <v>5.1372262773722597E-3</v>
      </c>
      <c r="HA13" s="64">
        <f t="shared" si="110"/>
        <v>0</v>
      </c>
      <c r="HB13" s="64">
        <f t="shared" si="111"/>
        <v>0</v>
      </c>
      <c r="HC13" s="64">
        <f t="shared" si="112"/>
        <v>2.5499999999997194E-4</v>
      </c>
      <c r="HD13" s="280">
        <f t="shared" si="113"/>
        <v>2.9375999999999938E-3</v>
      </c>
      <c r="HE13" s="64"/>
      <c r="HF13" s="89">
        <v>2023</v>
      </c>
      <c r="HG13" s="278">
        <f t="shared" si="114"/>
        <v>0.97</v>
      </c>
      <c r="HI13" s="278">
        <f t="shared" si="115"/>
        <v>0.90929175203060864</v>
      </c>
      <c r="HJ13" s="278">
        <f t="shared" si="116"/>
        <v>0.05</v>
      </c>
      <c r="HK13" s="64">
        <f t="shared" si="117"/>
        <v>2.4625279693913042E-3</v>
      </c>
      <c r="HL13" s="64">
        <f t="shared" si="118"/>
        <v>1.4253119999999996E-2</v>
      </c>
      <c r="HM13" s="64">
        <f t="shared" si="119"/>
        <v>2.501605839416059E-2</v>
      </c>
      <c r="HN13" s="64">
        <f t="shared" si="120"/>
        <v>1.0646715328467187E-2</v>
      </c>
      <c r="HO13" s="64">
        <f t="shared" si="121"/>
        <v>5.1372262773722597E-3</v>
      </c>
      <c r="HP13" s="64">
        <f t="shared" si="122"/>
        <v>0</v>
      </c>
      <c r="HQ13" s="64">
        <f t="shared" si="123"/>
        <v>0</v>
      </c>
      <c r="HR13" s="64">
        <f t="shared" si="124"/>
        <v>2.5499999999997194E-4</v>
      </c>
      <c r="HS13" s="280">
        <f t="shared" si="125"/>
        <v>2.9375999999999938E-3</v>
      </c>
      <c r="HT13" s="64"/>
      <c r="HU13" s="89">
        <v>2023</v>
      </c>
      <c r="HV13" s="278">
        <f t="shared" si="126"/>
        <v>0.97</v>
      </c>
      <c r="HX13" s="278">
        <f t="shared" si="127"/>
        <v>0.91001397601530432</v>
      </c>
      <c r="HY13" s="278">
        <f t="shared" si="128"/>
        <v>0.05</v>
      </c>
      <c r="HZ13" s="64">
        <f t="shared" si="129"/>
        <v>1.2312639846956508E-3</v>
      </c>
      <c r="IA13" s="64">
        <f t="shared" si="130"/>
        <v>1.4762159999999995E-2</v>
      </c>
      <c r="IB13" s="64">
        <f t="shared" si="131"/>
        <v>2.501605839416059E-2</v>
      </c>
      <c r="IC13" s="64">
        <f t="shared" si="132"/>
        <v>1.0646715328467187E-2</v>
      </c>
      <c r="ID13" s="64">
        <f t="shared" si="133"/>
        <v>5.1372262773722597E-3</v>
      </c>
      <c r="IE13" s="64">
        <f t="shared" si="134"/>
        <v>0</v>
      </c>
      <c r="IF13" s="64">
        <f t="shared" si="135"/>
        <v>0</v>
      </c>
      <c r="IG13" s="64">
        <f t="shared" si="136"/>
        <v>2.5499999999997194E-4</v>
      </c>
      <c r="IH13" s="280">
        <f t="shared" si="137"/>
        <v>2.9375999999999938E-3</v>
      </c>
      <c r="II13" s="64"/>
      <c r="IJ13" s="89">
        <v>2023</v>
      </c>
      <c r="IK13" s="278">
        <f t="shared" si="138"/>
        <v>0.97</v>
      </c>
      <c r="IM13" s="278">
        <f t="shared" si="139"/>
        <v>0.9107362</v>
      </c>
      <c r="IN13" s="278">
        <f t="shared" si="140"/>
        <v>0.05</v>
      </c>
      <c r="IO13" s="64">
        <v>0</v>
      </c>
      <c r="IP13" s="64">
        <f t="shared" si="141"/>
        <v>1.5271199999999995E-2</v>
      </c>
      <c r="IQ13" s="64">
        <f t="shared" si="142"/>
        <v>2.501605839416059E-2</v>
      </c>
      <c r="IR13" s="64">
        <f t="shared" si="143"/>
        <v>1.0646715328467187E-2</v>
      </c>
      <c r="IS13" s="64">
        <f t="shared" si="144"/>
        <v>5.1372262773722597E-3</v>
      </c>
      <c r="IT13" s="64">
        <f t="shared" si="145"/>
        <v>0</v>
      </c>
      <c r="IU13" s="64">
        <f t="shared" si="146"/>
        <v>0</v>
      </c>
      <c r="IV13" s="64">
        <f t="shared" si="147"/>
        <v>2.5499999999997194E-4</v>
      </c>
      <c r="IW13" s="280">
        <f t="shared" si="148"/>
        <v>2.9375999999999938E-3</v>
      </c>
      <c r="IX13" s="64"/>
      <c r="IY13" s="3">
        <f t="shared" si="149"/>
        <v>0.79999999999999982</v>
      </c>
      <c r="IZ13">
        <f t="shared" si="34"/>
        <v>2023</v>
      </c>
      <c r="JA13" s="3">
        <f t="shared" si="150"/>
        <v>3.7222416379084966</v>
      </c>
      <c r="JB13" s="353">
        <f>HLOOKUP('1 StrategyMix for CarbonTargets'!$V$46,'Stress calculations'!JI$8:JU$39,6,FALSE)</f>
        <v>3.9118885958220329</v>
      </c>
      <c r="JC13" s="3">
        <f t="shared" si="151"/>
        <v>3.84</v>
      </c>
      <c r="JD13" s="353">
        <f t="shared" si="152"/>
        <v>4.0421052631578949</v>
      </c>
      <c r="JE13" s="418">
        <f t="shared" si="35"/>
        <v>0.79999999999999982</v>
      </c>
      <c r="JF13" s="368">
        <f t="shared" si="153"/>
        <v>3.4999999999999996</v>
      </c>
      <c r="JG13" s="369">
        <f t="shared" si="154"/>
        <v>3.6842105263157894</v>
      </c>
      <c r="JH13" s="363">
        <f t="shared" si="155"/>
        <v>3.7147931580615401</v>
      </c>
      <c r="JI13" s="362">
        <f t="shared" si="36"/>
        <v>3.9103085874332004</v>
      </c>
      <c r="JJ13" s="366">
        <f t="shared" si="37"/>
        <v>3.7162941660309312</v>
      </c>
      <c r="JK13" s="367">
        <f t="shared" si="8"/>
        <v>3.9118885958220329</v>
      </c>
      <c r="JL13" s="363">
        <f t="shared" si="38"/>
        <v>3.7177951740003223</v>
      </c>
      <c r="JM13" s="362">
        <f t="shared" si="39"/>
        <v>3.9134686042108657</v>
      </c>
      <c r="JN13" s="366">
        <f t="shared" si="156"/>
        <v>3.7192961819697139</v>
      </c>
      <c r="JO13" s="367">
        <f t="shared" si="40"/>
        <v>3.9150486125996991</v>
      </c>
      <c r="JP13" s="363">
        <f t="shared" si="157"/>
        <v>3.720797189939105</v>
      </c>
      <c r="JQ13" s="362">
        <f t="shared" si="41"/>
        <v>3.9166286209885319</v>
      </c>
      <c r="JR13" s="366">
        <f t="shared" si="158"/>
        <v>3.7215194139238008</v>
      </c>
      <c r="JS13" s="367">
        <f t="shared" si="42"/>
        <v>3.917388856761896</v>
      </c>
      <c r="JT13" s="363">
        <f t="shared" si="159"/>
        <v>3.7222416379084966</v>
      </c>
      <c r="JU13" s="362">
        <f t="shared" si="43"/>
        <v>3.9181490925352596</v>
      </c>
    </row>
    <row r="14" spans="1:281">
      <c r="A14" s="693" t="s">
        <v>101</v>
      </c>
      <c r="B14" s="693"/>
      <c r="C14" s="693"/>
      <c r="D14" s="693"/>
      <c r="E14" s="693"/>
      <c r="F14" s="693"/>
      <c r="H14" s="702" t="s">
        <v>115</v>
      </c>
      <c r="I14" s="703"/>
      <c r="J14" s="704"/>
      <c r="AO14" s="89">
        <v>2024</v>
      </c>
      <c r="AP14" s="170">
        <f t="shared" si="160"/>
        <v>-3.8400000000000001E-3</v>
      </c>
      <c r="AQ14" s="170">
        <f t="shared" si="160"/>
        <v>-5.0000000000000012E-4</v>
      </c>
      <c r="AR14" s="170">
        <f t="shared" si="160"/>
        <v>0</v>
      </c>
      <c r="AS14" s="170">
        <f t="shared" si="160"/>
        <v>0</v>
      </c>
      <c r="AU14" s="170">
        <f t="shared" si="161"/>
        <v>-6.7153284671532861E-3</v>
      </c>
      <c r="AV14" s="170">
        <f t="shared" si="162"/>
        <v>-1.3917274939172749E-2</v>
      </c>
      <c r="AW14" s="170">
        <f t="shared" si="163"/>
        <v>-3.2700729927007302E-2</v>
      </c>
      <c r="AY14" s="170">
        <f t="shared" si="164"/>
        <v>-1.9962352941176462E-2</v>
      </c>
      <c r="AZ14" s="278">
        <f t="shared" si="165"/>
        <v>9.9811764705882316E-4</v>
      </c>
      <c r="BA14" s="284">
        <f t="shared" si="166"/>
        <v>-2.2360282852173889E-2</v>
      </c>
      <c r="BB14" s="276">
        <f t="shared" si="167"/>
        <v>-4.3105277681159395E-3</v>
      </c>
      <c r="BC14" s="277">
        <f t="shared" si="168"/>
        <v>-2.4844758724637652E-3</v>
      </c>
      <c r="BD14" s="278">
        <f t="shared" si="169"/>
        <v>9.9811764705882316E-4</v>
      </c>
      <c r="BE14" s="284">
        <f t="shared" si="170"/>
        <v>-2.2360282852173931E-2</v>
      </c>
      <c r="BF14" s="276">
        <f t="shared" si="171"/>
        <v>-4.3105277681159395E-3</v>
      </c>
      <c r="BG14" s="277">
        <f t="shared" si="9"/>
        <v>-2.4844758724637699E-3</v>
      </c>
      <c r="BH14" s="278">
        <f t="shared" si="172"/>
        <v>1.8853333333333326E-3</v>
      </c>
      <c r="BI14" s="284">
        <f t="shared" si="173"/>
        <v>-4.4720565704347848E-2</v>
      </c>
      <c r="BJ14" s="276">
        <f t="shared" si="174"/>
        <v>-8.6210555362318912E-3</v>
      </c>
      <c r="BK14" s="277">
        <f t="shared" si="10"/>
        <v>-4.968951744927539E-3</v>
      </c>
      <c r="BL14" s="278">
        <f t="shared" si="175"/>
        <v>1.8853333333333326E-3</v>
      </c>
      <c r="BM14" s="284">
        <f t="shared" si="176"/>
        <v>-4.4720565704347806E-2</v>
      </c>
      <c r="BN14" s="276">
        <f t="shared" si="177"/>
        <v>-8.6210555362318756E-3</v>
      </c>
      <c r="BO14" s="277">
        <f t="shared" si="11"/>
        <v>-4.9689517449275338E-3</v>
      </c>
      <c r="BP14" s="278">
        <f t="shared" si="178"/>
        <v>1.8853333333333326E-3</v>
      </c>
      <c r="BQ14" s="284">
        <f t="shared" si="179"/>
        <v>-4.4720565704347862E-2</v>
      </c>
      <c r="BR14" s="276">
        <f t="shared" si="180"/>
        <v>-8.6210555362318878E-3</v>
      </c>
      <c r="BS14" s="277">
        <f t="shared" si="12"/>
        <v>-4.9689517449275399E-3</v>
      </c>
      <c r="BT14" s="278">
        <f t="shared" si="181"/>
        <v>1.8853333333333326E-3</v>
      </c>
      <c r="BU14" s="284">
        <f t="shared" si="182"/>
        <v>-4.4720565704347806E-2</v>
      </c>
      <c r="BV14" s="276">
        <f t="shared" si="183"/>
        <v>-8.6210555362318825E-3</v>
      </c>
      <c r="BW14" s="278">
        <f t="shared" si="13"/>
        <v>-4.9689517449275338E-3</v>
      </c>
      <c r="BX14" s="391">
        <f t="shared" si="44"/>
        <v>-1.2310117647058819E-2</v>
      </c>
      <c r="BY14" s="388">
        <f t="shared" si="45"/>
        <v>-1.9875806979710149E-2</v>
      </c>
      <c r="BZ14" s="409">
        <f t="shared" si="184"/>
        <v>8.8888888888888892E-2</v>
      </c>
      <c r="CB14" s="279">
        <f t="shared" si="14"/>
        <v>-7.7635686274509799E-2</v>
      </c>
      <c r="CC14" s="64">
        <f t="shared" si="15"/>
        <v>-7.9122044499914737E-2</v>
      </c>
      <c r="CD14" s="64">
        <f t="shared" si="16"/>
        <v>-8.0608402725319675E-2</v>
      </c>
      <c r="CE14" s="64">
        <f t="shared" si="17"/>
        <v>-8.3692021136913874E-2</v>
      </c>
      <c r="CF14" s="64">
        <f t="shared" si="18"/>
        <v>-8.6775639548508074E-2</v>
      </c>
      <c r="CG14" s="64">
        <f t="shared" si="19"/>
        <v>-8.9859257960102273E-2</v>
      </c>
      <c r="CH14" s="64">
        <f t="shared" si="20"/>
        <v>-9.2942876371696473E-2</v>
      </c>
      <c r="CI14">
        <v>2024</v>
      </c>
      <c r="CJ14" s="240"/>
      <c r="CL14">
        <v>2024</v>
      </c>
      <c r="CM14" s="3">
        <f t="shared" si="46"/>
        <v>0.95</v>
      </c>
      <c r="CN14" s="64">
        <f t="shared" si="21"/>
        <v>0.94616</v>
      </c>
      <c r="CO14" s="64">
        <f t="shared" si="21"/>
        <v>0.94566000000000006</v>
      </c>
      <c r="CP14" s="64">
        <f t="shared" si="21"/>
        <v>0.94566000000000006</v>
      </c>
      <c r="CQ14" s="64">
        <f t="shared" si="21"/>
        <v>0.94566000000000006</v>
      </c>
      <c r="CR14" s="64">
        <f t="shared" si="22"/>
        <v>0.93894467153284678</v>
      </c>
      <c r="CS14" s="64">
        <f t="shared" si="22"/>
        <v>0.92502739659367406</v>
      </c>
      <c r="CT14" s="64">
        <f t="shared" si="22"/>
        <v>0.89232666666666671</v>
      </c>
      <c r="CU14" s="64">
        <f t="shared" si="23"/>
        <v>0.87236431372549028</v>
      </c>
      <c r="CV14" s="64">
        <f t="shared" si="23"/>
        <v>0.8733624313725491</v>
      </c>
      <c r="CW14" s="65">
        <f t="shared" si="47"/>
        <v>0.87087795550008529</v>
      </c>
      <c r="CX14" s="64">
        <f t="shared" si="48"/>
        <v>0.87436054901960791</v>
      </c>
      <c r="CY14" s="65">
        <f t="shared" si="49"/>
        <v>0.86939159727468029</v>
      </c>
      <c r="CZ14" s="64">
        <f t="shared" si="50"/>
        <v>0.87624588235294121</v>
      </c>
      <c r="DA14" s="65">
        <f t="shared" si="51"/>
        <v>0.86630797886308608</v>
      </c>
      <c r="DB14" s="64">
        <f t="shared" si="52"/>
        <v>0.8781312156862745</v>
      </c>
      <c r="DC14" s="65">
        <f t="shared" si="53"/>
        <v>0.86322436045149187</v>
      </c>
      <c r="DD14" s="64">
        <f t="shared" si="54"/>
        <v>0.8800165490196078</v>
      </c>
      <c r="DE14" s="65">
        <f t="shared" si="55"/>
        <v>0.86014074203989765</v>
      </c>
      <c r="DF14" s="64">
        <f t="shared" si="56"/>
        <v>0.88190188235294109</v>
      </c>
      <c r="DG14" s="65">
        <f t="shared" si="57"/>
        <v>0.85705712362830344</v>
      </c>
      <c r="DL14">
        <v>2024</v>
      </c>
      <c r="DM14" s="64">
        <f t="shared" si="58"/>
        <v>0.85705712362830344</v>
      </c>
      <c r="DN14" s="64">
        <f t="shared" si="59"/>
        <v>0.86014074203989765</v>
      </c>
      <c r="DO14" s="64">
        <f t="shared" si="60"/>
        <v>0.86322436045149187</v>
      </c>
      <c r="DP14" s="64">
        <f t="shared" si="61"/>
        <v>0.86630797886308608</v>
      </c>
      <c r="DQ14" s="64">
        <f t="shared" si="62"/>
        <v>0.86939159727468029</v>
      </c>
      <c r="DR14" s="64">
        <f t="shared" si="63"/>
        <v>0.87087795550008529</v>
      </c>
      <c r="DS14" s="64">
        <f t="shared" si="24"/>
        <v>0.87236431372549028</v>
      </c>
      <c r="DT14" s="64">
        <f t="shared" si="25"/>
        <v>0.89232666666666671</v>
      </c>
      <c r="DU14" s="64">
        <f t="shared" si="26"/>
        <v>0.92502739659367406</v>
      </c>
      <c r="DV14" s="64">
        <f t="shared" si="27"/>
        <v>0.93894467153284678</v>
      </c>
      <c r="DW14" s="64">
        <f t="shared" si="28"/>
        <v>0.94566000000000006</v>
      </c>
      <c r="DX14" s="64">
        <f t="shared" si="29"/>
        <v>0.94566000000000006</v>
      </c>
      <c r="DY14" s="64">
        <f t="shared" si="30"/>
        <v>0.94566000000000006</v>
      </c>
      <c r="DZ14" s="64">
        <f t="shared" si="31"/>
        <v>0.94616</v>
      </c>
      <c r="EA14" s="3">
        <f t="shared" si="64"/>
        <v>0.95</v>
      </c>
      <c r="EB14">
        <v>2024</v>
      </c>
      <c r="EC14" s="269">
        <f t="shared" si="65"/>
        <v>0.85705712362830355</v>
      </c>
      <c r="ED14" s="269">
        <f t="shared" si="66"/>
        <v>0.05</v>
      </c>
      <c r="EE14" s="64">
        <f t="shared" si="32"/>
        <v>3.0836184115942133E-3</v>
      </c>
      <c r="EF14" s="64">
        <f t="shared" si="32"/>
        <v>3.0836184115942133E-3</v>
      </c>
      <c r="EG14" s="64">
        <f t="shared" si="32"/>
        <v>3.0836184115942133E-3</v>
      </c>
      <c r="EH14" s="64">
        <f t="shared" si="32"/>
        <v>3.0836184115942133E-3</v>
      </c>
      <c r="EI14" s="64">
        <f t="shared" si="32"/>
        <v>1.4863582254049934E-3</v>
      </c>
      <c r="EJ14" s="64">
        <f t="shared" si="32"/>
        <v>1.4863582254049934E-3</v>
      </c>
      <c r="EK14" s="64">
        <f t="shared" si="32"/>
        <v>1.9962352941176431E-2</v>
      </c>
      <c r="EL14" s="64">
        <f t="shared" si="32"/>
        <v>3.2700729927007344E-2</v>
      </c>
      <c r="EM14" s="64">
        <f t="shared" si="32"/>
        <v>1.3917274939172719E-2</v>
      </c>
      <c r="EN14" s="64">
        <f t="shared" si="32"/>
        <v>6.7153284671532809E-3</v>
      </c>
      <c r="EO14" s="64">
        <f t="shared" si="32"/>
        <v>0</v>
      </c>
      <c r="EP14" s="64">
        <f t="shared" si="32"/>
        <v>0</v>
      </c>
      <c r="EQ14" s="64">
        <f t="shared" si="32"/>
        <v>4.9999999999994493E-4</v>
      </c>
      <c r="ER14" s="64">
        <f t="shared" si="32"/>
        <v>3.8399999999999546E-3</v>
      </c>
      <c r="EX14" s="89">
        <v>2024</v>
      </c>
      <c r="EY14" s="278">
        <f t="shared" si="67"/>
        <v>0.97666666666666657</v>
      </c>
      <c r="EZ14" s="278"/>
      <c r="FA14" s="278">
        <f t="shared" si="68"/>
        <v>0.88124531359172487</v>
      </c>
      <c r="FB14" s="278">
        <f t="shared" si="33"/>
        <v>0.05</v>
      </c>
      <c r="FC14" s="64">
        <f t="shared" si="69"/>
        <v>2.5507285623961356E-2</v>
      </c>
      <c r="FD14" s="64">
        <f t="shared" si="70"/>
        <v>1.0702778562091498E-2</v>
      </c>
      <c r="FE14" s="64">
        <f t="shared" si="71"/>
        <v>3.3572749391727538E-2</v>
      </c>
      <c r="FF14" s="64">
        <f t="shared" si="72"/>
        <v>1.4288402270883991E-2</v>
      </c>
      <c r="FG14" s="64">
        <f t="shared" si="73"/>
        <v>6.894403892944035E-3</v>
      </c>
      <c r="FH14" s="64">
        <f t="shared" si="74"/>
        <v>0</v>
      </c>
      <c r="FI14" s="64">
        <f t="shared" si="75"/>
        <v>0</v>
      </c>
      <c r="FJ14" s="64">
        <f t="shared" si="76"/>
        <v>5.1333333333327682E-4</v>
      </c>
      <c r="FK14" s="280">
        <f t="shared" si="77"/>
        <v>3.9423999999999536E-3</v>
      </c>
      <c r="FL14" s="64"/>
      <c r="FM14" s="89">
        <v>2024</v>
      </c>
      <c r="FN14" s="278">
        <f t="shared" si="78"/>
        <v>0.97666666666666657</v>
      </c>
      <c r="FP14" s="278">
        <f t="shared" si="79"/>
        <v>0.88441116182762824</v>
      </c>
      <c r="FQ14" s="278">
        <f t="shared" si="80"/>
        <v>0.05</v>
      </c>
      <c r="FR14" s="64">
        <f t="shared" si="81"/>
        <v>2.0405828499169085E-2</v>
      </c>
      <c r="FS14" s="64">
        <f t="shared" si="82"/>
        <v>1.2638387450980386E-2</v>
      </c>
      <c r="FT14" s="64">
        <f t="shared" si="83"/>
        <v>3.3572749391727538E-2</v>
      </c>
      <c r="FU14" s="64">
        <f t="shared" si="84"/>
        <v>1.4288402270883991E-2</v>
      </c>
      <c r="FV14" s="64">
        <f t="shared" si="85"/>
        <v>6.894403892944035E-3</v>
      </c>
      <c r="FW14" s="64">
        <f t="shared" si="86"/>
        <v>0</v>
      </c>
      <c r="FX14" s="64">
        <f t="shared" si="87"/>
        <v>0</v>
      </c>
      <c r="FY14" s="64">
        <f t="shared" si="88"/>
        <v>5.1333333333327682E-4</v>
      </c>
      <c r="FZ14" s="280">
        <f t="shared" si="89"/>
        <v>3.9423999999999536E-3</v>
      </c>
      <c r="GA14" s="64"/>
      <c r="GB14" s="89">
        <v>2024</v>
      </c>
      <c r="GC14" s="278">
        <f t="shared" si="90"/>
        <v>0.97666666666666657</v>
      </c>
      <c r="GE14" s="278">
        <f t="shared" si="91"/>
        <v>0.88757701006353174</v>
      </c>
      <c r="GF14" s="278">
        <f t="shared" si="92"/>
        <v>0.05</v>
      </c>
      <c r="GG14" s="64">
        <f t="shared" si="93"/>
        <v>1.530437137437681E-2</v>
      </c>
      <c r="GH14" s="64">
        <f t="shared" si="94"/>
        <v>1.4573996339869274E-2</v>
      </c>
      <c r="GI14" s="64">
        <f t="shared" si="95"/>
        <v>3.3572749391727538E-2</v>
      </c>
      <c r="GJ14" s="64">
        <f t="shared" si="96"/>
        <v>1.4288402270883991E-2</v>
      </c>
      <c r="GK14" s="64">
        <f t="shared" si="97"/>
        <v>6.894403892944035E-3</v>
      </c>
      <c r="GL14" s="64">
        <f t="shared" si="98"/>
        <v>0</v>
      </c>
      <c r="GM14" s="64">
        <f t="shared" si="99"/>
        <v>0</v>
      </c>
      <c r="GN14" s="64">
        <f t="shared" si="100"/>
        <v>5.1333333333327682E-4</v>
      </c>
      <c r="GO14" s="280">
        <f t="shared" si="101"/>
        <v>3.9423999999999536E-3</v>
      </c>
      <c r="GP14" s="64"/>
      <c r="GQ14" s="89">
        <v>2024</v>
      </c>
      <c r="GR14" s="278">
        <f t="shared" si="102"/>
        <v>0.97666666666666657</v>
      </c>
      <c r="GT14" s="278">
        <f t="shared" si="103"/>
        <v>0.89074285829943511</v>
      </c>
      <c r="GU14" s="278">
        <f t="shared" si="104"/>
        <v>0.05</v>
      </c>
      <c r="GV14" s="64">
        <f t="shared" si="105"/>
        <v>1.0202914249584543E-2</v>
      </c>
      <c r="GW14" s="64">
        <f t="shared" si="106"/>
        <v>1.6509605228758162E-2</v>
      </c>
      <c r="GX14" s="64">
        <f t="shared" si="107"/>
        <v>3.3572749391727538E-2</v>
      </c>
      <c r="GY14" s="64">
        <f t="shared" si="108"/>
        <v>1.4288402270883991E-2</v>
      </c>
      <c r="GZ14" s="64">
        <f t="shared" si="109"/>
        <v>6.894403892944035E-3</v>
      </c>
      <c r="HA14" s="64">
        <f t="shared" si="110"/>
        <v>0</v>
      </c>
      <c r="HB14" s="64">
        <f t="shared" si="111"/>
        <v>0</v>
      </c>
      <c r="HC14" s="64">
        <f t="shared" si="112"/>
        <v>5.1333333333327682E-4</v>
      </c>
      <c r="HD14" s="280">
        <f t="shared" si="113"/>
        <v>3.9423999999999536E-3</v>
      </c>
      <c r="HE14" s="64"/>
      <c r="HF14" s="89">
        <v>2024</v>
      </c>
      <c r="HG14" s="278">
        <f t="shared" si="114"/>
        <v>0.97666666666666657</v>
      </c>
      <c r="HI14" s="278">
        <f t="shared" si="115"/>
        <v>0.89390870653533849</v>
      </c>
      <c r="HJ14" s="278">
        <f t="shared" si="116"/>
        <v>0.05</v>
      </c>
      <c r="HK14" s="64">
        <f t="shared" si="117"/>
        <v>5.1014571247922696E-3</v>
      </c>
      <c r="HL14" s="64">
        <f t="shared" si="118"/>
        <v>1.844521411764705E-2</v>
      </c>
      <c r="HM14" s="64">
        <f t="shared" si="119"/>
        <v>3.3572749391727538E-2</v>
      </c>
      <c r="HN14" s="64">
        <f t="shared" si="120"/>
        <v>1.4288402270883991E-2</v>
      </c>
      <c r="HO14" s="64">
        <f t="shared" si="121"/>
        <v>6.894403892944035E-3</v>
      </c>
      <c r="HP14" s="64">
        <f t="shared" si="122"/>
        <v>0</v>
      </c>
      <c r="HQ14" s="64">
        <f t="shared" si="123"/>
        <v>0</v>
      </c>
      <c r="HR14" s="64">
        <f t="shared" si="124"/>
        <v>5.1333333333327682E-4</v>
      </c>
      <c r="HS14" s="280">
        <f t="shared" si="125"/>
        <v>3.9423999999999536E-3</v>
      </c>
      <c r="HT14" s="64"/>
      <c r="HU14" s="89">
        <v>2024</v>
      </c>
      <c r="HV14" s="278">
        <f t="shared" si="126"/>
        <v>0.97666666666666657</v>
      </c>
      <c r="HX14" s="278">
        <f t="shared" si="127"/>
        <v>0.89543470098008759</v>
      </c>
      <c r="HY14" s="278">
        <f t="shared" si="128"/>
        <v>0.05</v>
      </c>
      <c r="HZ14" s="64">
        <f t="shared" si="129"/>
        <v>2.5507285623961322E-3</v>
      </c>
      <c r="IA14" s="64">
        <f t="shared" si="130"/>
        <v>1.9469948235294108E-2</v>
      </c>
      <c r="IB14" s="64">
        <f t="shared" si="131"/>
        <v>3.3572749391727538E-2</v>
      </c>
      <c r="IC14" s="64">
        <f t="shared" si="132"/>
        <v>1.4288402270883991E-2</v>
      </c>
      <c r="ID14" s="64">
        <f t="shared" si="133"/>
        <v>6.894403892944035E-3</v>
      </c>
      <c r="IE14" s="64">
        <f t="shared" si="134"/>
        <v>0</v>
      </c>
      <c r="IF14" s="64">
        <f t="shared" si="135"/>
        <v>0</v>
      </c>
      <c r="IG14" s="64">
        <f t="shared" si="136"/>
        <v>5.1333333333327682E-4</v>
      </c>
      <c r="IH14" s="280">
        <f t="shared" si="137"/>
        <v>3.9423999999999536E-3</v>
      </c>
      <c r="II14" s="64"/>
      <c r="IJ14" s="89">
        <v>2024</v>
      </c>
      <c r="IK14" s="278">
        <f t="shared" si="138"/>
        <v>0.97666666666666657</v>
      </c>
      <c r="IM14" s="278">
        <f t="shared" si="139"/>
        <v>0.89696069542483658</v>
      </c>
      <c r="IN14" s="278">
        <f t="shared" si="140"/>
        <v>0.05</v>
      </c>
      <c r="IO14" s="64">
        <v>0</v>
      </c>
      <c r="IP14" s="64">
        <f t="shared" si="141"/>
        <v>2.0494682352941166E-2</v>
      </c>
      <c r="IQ14" s="64">
        <f t="shared" si="142"/>
        <v>3.3572749391727538E-2</v>
      </c>
      <c r="IR14" s="64">
        <f t="shared" si="143"/>
        <v>1.4288402270883991E-2</v>
      </c>
      <c r="IS14" s="64">
        <f t="shared" si="144"/>
        <v>6.894403892944035E-3</v>
      </c>
      <c r="IT14" s="64">
        <f t="shared" si="145"/>
        <v>0</v>
      </c>
      <c r="IU14" s="64">
        <f t="shared" si="146"/>
        <v>0</v>
      </c>
      <c r="IV14" s="64">
        <f t="shared" si="147"/>
        <v>5.1333333333327682E-4</v>
      </c>
      <c r="IW14" s="280">
        <f t="shared" si="148"/>
        <v>3.9423999999999536E-3</v>
      </c>
      <c r="IX14" s="64"/>
      <c r="IY14" s="3">
        <f t="shared" si="149"/>
        <v>0.74999999999999956</v>
      </c>
      <c r="IZ14">
        <f t="shared" si="34"/>
        <v>2024</v>
      </c>
      <c r="JA14" s="3">
        <f t="shared" si="150"/>
        <v>4.619202333333333</v>
      </c>
      <c r="JB14" s="353">
        <f>HLOOKUP('1 StrategyMix for CarbonTargets'!$V$46,'Stress calculations'!JI$8:JU$39,7,FALSE)</f>
        <v>4.8428477135353258</v>
      </c>
      <c r="JC14" s="3">
        <f t="shared" si="151"/>
        <v>4.8166666666666664</v>
      </c>
      <c r="JD14" s="353">
        <f t="shared" si="152"/>
        <v>5.0701754385964914</v>
      </c>
      <c r="JE14" s="418">
        <f t="shared" si="35"/>
        <v>0.74999999999999978</v>
      </c>
      <c r="JF14" s="368">
        <f t="shared" si="153"/>
        <v>4.2499999999999991</v>
      </c>
      <c r="JG14" s="369">
        <f t="shared" si="154"/>
        <v>4.473684210526315</v>
      </c>
      <c r="JH14" s="363">
        <f t="shared" si="155"/>
        <v>4.596038471653265</v>
      </c>
      <c r="JI14" s="362">
        <f t="shared" si="36"/>
        <v>4.8379352333192269</v>
      </c>
      <c r="JJ14" s="366">
        <f t="shared" si="37"/>
        <v>4.6007053278585595</v>
      </c>
      <c r="JK14" s="367">
        <f t="shared" si="8"/>
        <v>4.8428477135353258</v>
      </c>
      <c r="JL14" s="363">
        <f t="shared" si="38"/>
        <v>4.605372184063854</v>
      </c>
      <c r="JM14" s="362">
        <f t="shared" si="39"/>
        <v>4.8477601937514256</v>
      </c>
      <c r="JN14" s="366">
        <f t="shared" si="156"/>
        <v>4.6100390402691493</v>
      </c>
      <c r="JO14" s="367">
        <f t="shared" si="40"/>
        <v>4.8526726739675254</v>
      </c>
      <c r="JP14" s="363">
        <f t="shared" si="157"/>
        <v>4.6147058964744438</v>
      </c>
      <c r="JQ14" s="362">
        <f t="shared" si="41"/>
        <v>4.8575851541836252</v>
      </c>
      <c r="JR14" s="366">
        <f t="shared" si="158"/>
        <v>4.6169541149038889</v>
      </c>
      <c r="JS14" s="367">
        <f t="shared" si="42"/>
        <v>4.859951699898831</v>
      </c>
      <c r="JT14" s="363">
        <f t="shared" si="159"/>
        <v>4.619202333333333</v>
      </c>
      <c r="JU14" s="362">
        <f t="shared" si="43"/>
        <v>4.862318245614035</v>
      </c>
    </row>
    <row r="15" spans="1:281">
      <c r="A15" s="689" t="s">
        <v>102</v>
      </c>
      <c r="B15" s="689"/>
      <c r="C15" s="689"/>
      <c r="D15" s="689"/>
      <c r="E15" s="689"/>
      <c r="F15" s="689"/>
      <c r="G15" s="122"/>
      <c r="H15" s="295" t="s">
        <v>146</v>
      </c>
      <c r="I15" s="2" t="s">
        <v>147</v>
      </c>
      <c r="J15" s="296" t="s">
        <v>148</v>
      </c>
      <c r="K15" s="2"/>
      <c r="AO15" s="89">
        <v>2025</v>
      </c>
      <c r="AP15" s="170">
        <f t="shared" si="160"/>
        <v>-4.8000000000000004E-3</v>
      </c>
      <c r="AQ15" s="170">
        <f t="shared" si="160"/>
        <v>-7.5000000000000023E-4</v>
      </c>
      <c r="AR15" s="170">
        <f t="shared" si="160"/>
        <v>-8.653846153846153E-4</v>
      </c>
      <c r="AS15" s="170">
        <f t="shared" si="160"/>
        <v>0</v>
      </c>
      <c r="AU15" s="170">
        <f t="shared" si="161"/>
        <v>-8.3941605839416081E-3</v>
      </c>
      <c r="AV15" s="170">
        <f t="shared" si="162"/>
        <v>-1.7396593673965937E-2</v>
      </c>
      <c r="AW15" s="170">
        <f t="shared" si="163"/>
        <v>-4.0875912408759124E-2</v>
      </c>
      <c r="AY15" s="170">
        <f t="shared" si="164"/>
        <v>-2.4952941176470577E-2</v>
      </c>
      <c r="AZ15" s="278">
        <f t="shared" si="165"/>
        <v>1.4971764705882348E-3</v>
      </c>
      <c r="BA15" s="284">
        <f t="shared" si="166"/>
        <v>-2.2992377739130411E-2</v>
      </c>
      <c r="BB15" s="276">
        <f t="shared" si="167"/>
        <v>-6.4657916521739089E-3</v>
      </c>
      <c r="BC15" s="277">
        <f t="shared" si="168"/>
        <v>-3.8320629565217349E-3</v>
      </c>
      <c r="BD15" s="278">
        <f t="shared" si="169"/>
        <v>1.4971764705882348E-3</v>
      </c>
      <c r="BE15" s="284">
        <f t="shared" si="170"/>
        <v>-2.2992377739130453E-2</v>
      </c>
      <c r="BF15" s="276">
        <f t="shared" si="171"/>
        <v>-6.4657916521739089E-3</v>
      </c>
      <c r="BG15" s="277">
        <f t="shared" si="9"/>
        <v>-3.8320629565217418E-3</v>
      </c>
      <c r="BH15" s="278">
        <f t="shared" si="172"/>
        <v>2.8279999999999989E-3</v>
      </c>
      <c r="BI15" s="284">
        <f t="shared" si="173"/>
        <v>-4.5984755478260891E-2</v>
      </c>
      <c r="BJ15" s="276">
        <f t="shared" si="174"/>
        <v>-1.2931583304347837E-2</v>
      </c>
      <c r="BK15" s="277">
        <f t="shared" si="10"/>
        <v>-7.6641259130434819E-3</v>
      </c>
      <c r="BL15" s="278">
        <f t="shared" si="175"/>
        <v>2.8279999999999989E-3</v>
      </c>
      <c r="BM15" s="284">
        <f t="shared" si="176"/>
        <v>-4.598475547826085E-2</v>
      </c>
      <c r="BN15" s="276">
        <f t="shared" si="177"/>
        <v>-1.2931583304347814E-2</v>
      </c>
      <c r="BO15" s="277">
        <f t="shared" si="11"/>
        <v>-7.664125913043475E-3</v>
      </c>
      <c r="BP15" s="278">
        <f t="shared" si="178"/>
        <v>2.8279999999999989E-3</v>
      </c>
      <c r="BQ15" s="284">
        <f t="shared" si="179"/>
        <v>-4.5984755478260905E-2</v>
      </c>
      <c r="BR15" s="276">
        <f t="shared" si="180"/>
        <v>-1.2931583304347832E-2</v>
      </c>
      <c r="BS15" s="277">
        <f t="shared" si="12"/>
        <v>-7.6641259130434836E-3</v>
      </c>
      <c r="BT15" s="278">
        <f t="shared" si="181"/>
        <v>2.8279999999999989E-3</v>
      </c>
      <c r="BU15" s="284">
        <f t="shared" si="182"/>
        <v>-4.598475547826085E-2</v>
      </c>
      <c r="BV15" s="276">
        <f t="shared" si="183"/>
        <v>-1.2931583304347825E-2</v>
      </c>
      <c r="BW15" s="278">
        <f t="shared" si="13"/>
        <v>-7.664125913043475E-3</v>
      </c>
      <c r="BX15" s="391">
        <f t="shared" si="44"/>
        <v>-1.3474588235294111E-2</v>
      </c>
      <c r="BY15" s="388">
        <f t="shared" si="45"/>
        <v>-3.0656503652173914E-2</v>
      </c>
      <c r="BZ15" s="409">
        <f t="shared" si="184"/>
        <v>0.13333333333333333</v>
      </c>
      <c r="CB15" s="279">
        <f t="shared" si="14"/>
        <v>-9.8034992458521861E-2</v>
      </c>
      <c r="CC15" s="64">
        <f t="shared" si="15"/>
        <v>-0.10036987894445536</v>
      </c>
      <c r="CD15" s="64">
        <f t="shared" si="16"/>
        <v>-0.10270476543038887</v>
      </c>
      <c r="CE15" s="64">
        <f t="shared" si="17"/>
        <v>-0.10754089134343235</v>
      </c>
      <c r="CF15" s="64">
        <f t="shared" si="18"/>
        <v>-0.11237701725647584</v>
      </c>
      <c r="CG15" s="64">
        <f t="shared" si="19"/>
        <v>-0.11721314316951932</v>
      </c>
      <c r="CH15" s="64">
        <f t="shared" si="20"/>
        <v>-0.12204926908256281</v>
      </c>
      <c r="CI15">
        <v>2025</v>
      </c>
      <c r="CJ15" s="240"/>
      <c r="CL15">
        <v>2025</v>
      </c>
      <c r="CM15" s="3">
        <f t="shared" si="46"/>
        <v>0.95</v>
      </c>
      <c r="CN15" s="64">
        <f t="shared" si="21"/>
        <v>0.94519999999999993</v>
      </c>
      <c r="CO15" s="64">
        <f t="shared" si="21"/>
        <v>0.9444499999999999</v>
      </c>
      <c r="CP15" s="64">
        <f t="shared" si="21"/>
        <v>0.94358461538461524</v>
      </c>
      <c r="CQ15" s="64">
        <f t="shared" si="21"/>
        <v>0.94358461538461524</v>
      </c>
      <c r="CR15" s="64">
        <f t="shared" si="22"/>
        <v>0.93519045480067364</v>
      </c>
      <c r="CS15" s="64">
        <f t="shared" si="22"/>
        <v>0.91779386112670769</v>
      </c>
      <c r="CT15" s="64">
        <f t="shared" si="22"/>
        <v>0.87691794871794859</v>
      </c>
      <c r="CU15" s="64">
        <f t="shared" si="23"/>
        <v>0.85196500754147797</v>
      </c>
      <c r="CV15" s="64">
        <f t="shared" si="23"/>
        <v>0.85346218401206619</v>
      </c>
      <c r="CW15" s="65">
        <f t="shared" si="47"/>
        <v>0.84963012105554447</v>
      </c>
      <c r="CX15" s="64">
        <f t="shared" si="48"/>
        <v>0.85495936048265442</v>
      </c>
      <c r="CY15" s="65">
        <f t="shared" si="49"/>
        <v>0.84729523456961098</v>
      </c>
      <c r="CZ15" s="64">
        <f t="shared" si="50"/>
        <v>0.85778736048265447</v>
      </c>
      <c r="DA15" s="65">
        <f t="shared" si="51"/>
        <v>0.84245910865656759</v>
      </c>
      <c r="DB15" s="64">
        <f t="shared" si="52"/>
        <v>0.86061536048265452</v>
      </c>
      <c r="DC15" s="65">
        <f t="shared" si="53"/>
        <v>0.8376229827435242</v>
      </c>
      <c r="DD15" s="64">
        <f t="shared" si="54"/>
        <v>0.86344336048265458</v>
      </c>
      <c r="DE15" s="65">
        <f t="shared" si="55"/>
        <v>0.83278685683048082</v>
      </c>
      <c r="DF15" s="64">
        <f t="shared" si="56"/>
        <v>0.86627136048265463</v>
      </c>
      <c r="DG15" s="65">
        <f t="shared" si="57"/>
        <v>0.82795073091743743</v>
      </c>
      <c r="DL15">
        <v>2025</v>
      </c>
      <c r="DM15" s="64">
        <f t="shared" si="58"/>
        <v>0.82795073091743743</v>
      </c>
      <c r="DN15" s="64">
        <f t="shared" si="59"/>
        <v>0.83278685683048082</v>
      </c>
      <c r="DO15" s="64">
        <f t="shared" si="60"/>
        <v>0.8376229827435242</v>
      </c>
      <c r="DP15" s="64">
        <f t="shared" si="61"/>
        <v>0.84245910865656759</v>
      </c>
      <c r="DQ15" s="64">
        <f t="shared" si="62"/>
        <v>0.84729523456961098</v>
      </c>
      <c r="DR15" s="64">
        <f t="shared" si="63"/>
        <v>0.84963012105554447</v>
      </c>
      <c r="DS15" s="64">
        <f t="shared" si="24"/>
        <v>0.85196500754147797</v>
      </c>
      <c r="DT15" s="64">
        <f t="shared" si="25"/>
        <v>0.87691794871794859</v>
      </c>
      <c r="DU15" s="64">
        <f t="shared" si="26"/>
        <v>0.91779386112670769</v>
      </c>
      <c r="DV15" s="64">
        <f t="shared" si="27"/>
        <v>0.93519045480067364</v>
      </c>
      <c r="DW15" s="64">
        <f t="shared" si="28"/>
        <v>0.94358461538461524</v>
      </c>
      <c r="DX15" s="64">
        <f t="shared" si="29"/>
        <v>0.94358461538461524</v>
      </c>
      <c r="DY15" s="64">
        <f t="shared" si="30"/>
        <v>0.9444499999999999</v>
      </c>
      <c r="DZ15" s="64">
        <f t="shared" si="31"/>
        <v>0.94519999999999993</v>
      </c>
      <c r="EA15" s="3">
        <f t="shared" si="64"/>
        <v>0.95</v>
      </c>
      <c r="EB15">
        <v>2025</v>
      </c>
      <c r="EC15" s="269">
        <f t="shared" si="65"/>
        <v>0.82795073091743743</v>
      </c>
      <c r="ED15" s="269">
        <f t="shared" si="66"/>
        <v>0.05</v>
      </c>
      <c r="EE15" s="64">
        <f t="shared" si="32"/>
        <v>4.8361259130433876E-3</v>
      </c>
      <c r="EF15" s="64">
        <f t="shared" si="32"/>
        <v>4.8361259130433876E-3</v>
      </c>
      <c r="EG15" s="64">
        <f t="shared" si="32"/>
        <v>4.8361259130433876E-3</v>
      </c>
      <c r="EH15" s="64">
        <f t="shared" si="32"/>
        <v>4.8361259130433876E-3</v>
      </c>
      <c r="EI15" s="64">
        <f t="shared" si="32"/>
        <v>2.3348864859334961E-3</v>
      </c>
      <c r="EJ15" s="64">
        <f t="shared" si="32"/>
        <v>2.3348864859334961E-3</v>
      </c>
      <c r="EK15" s="64">
        <f t="shared" si="32"/>
        <v>2.4952941176470622E-2</v>
      </c>
      <c r="EL15" s="64">
        <f t="shared" si="32"/>
        <v>4.0875912408759096E-2</v>
      </c>
      <c r="EM15" s="64">
        <f t="shared" si="32"/>
        <v>1.7396593673965954E-2</v>
      </c>
      <c r="EN15" s="64">
        <f t="shared" si="32"/>
        <v>8.3941605839416011E-3</v>
      </c>
      <c r="EO15" s="64">
        <f t="shared" si="32"/>
        <v>0</v>
      </c>
      <c r="EP15" s="64">
        <f t="shared" si="32"/>
        <v>8.6538461538465672E-4</v>
      </c>
      <c r="EQ15" s="64">
        <f t="shared" si="32"/>
        <v>7.5000000000002842E-4</v>
      </c>
      <c r="ER15" s="64">
        <f t="shared" si="32"/>
        <v>4.8000000000000265E-3</v>
      </c>
      <c r="EX15" s="89">
        <v>2025</v>
      </c>
      <c r="EY15" s="278">
        <f t="shared" si="67"/>
        <v>0.98333333333333328</v>
      </c>
      <c r="EZ15" s="278"/>
      <c r="FA15" s="278">
        <f t="shared" si="68"/>
        <v>0.85721575528135163</v>
      </c>
      <c r="FB15" s="278">
        <f t="shared" si="33"/>
        <v>0.05</v>
      </c>
      <c r="FC15" s="64">
        <f t="shared" si="69"/>
        <v>3.9597983884057969E-2</v>
      </c>
      <c r="FD15" s="64">
        <f t="shared" si="70"/>
        <v>1.1001474509803917E-2</v>
      </c>
      <c r="FE15" s="64">
        <f t="shared" si="71"/>
        <v>4.2238442822384405E-2</v>
      </c>
      <c r="FF15" s="64">
        <f t="shared" si="72"/>
        <v>1.797648012976482E-2</v>
      </c>
      <c r="FG15" s="64">
        <f t="shared" si="73"/>
        <v>8.6739659367396551E-3</v>
      </c>
      <c r="FH15" s="64">
        <f t="shared" si="74"/>
        <v>0</v>
      </c>
      <c r="FI15" s="64">
        <f t="shared" si="75"/>
        <v>8.9423076923081206E-4</v>
      </c>
      <c r="FJ15" s="64">
        <f t="shared" si="76"/>
        <v>7.7500000000002946E-4</v>
      </c>
      <c r="FK15" s="280">
        <f t="shared" si="77"/>
        <v>4.9600000000000278E-3</v>
      </c>
      <c r="FL15" s="64"/>
      <c r="FM15" s="89">
        <v>2025</v>
      </c>
      <c r="FN15" s="278">
        <f t="shared" si="78"/>
        <v>0.98333333333333328</v>
      </c>
      <c r="FP15" s="278">
        <f t="shared" si="79"/>
        <v>0.86221308539149655</v>
      </c>
      <c r="FQ15" s="278">
        <f t="shared" si="80"/>
        <v>0.05</v>
      </c>
      <c r="FR15" s="64">
        <f t="shared" si="81"/>
        <v>3.1678387107246381E-2</v>
      </c>
      <c r="FS15" s="64">
        <f t="shared" si="82"/>
        <v>1.3923741176470583E-2</v>
      </c>
      <c r="FT15" s="64">
        <f t="shared" si="83"/>
        <v>4.2238442822384405E-2</v>
      </c>
      <c r="FU15" s="64">
        <f t="shared" si="84"/>
        <v>1.797648012976482E-2</v>
      </c>
      <c r="FV15" s="64">
        <f t="shared" si="85"/>
        <v>8.6739659367396551E-3</v>
      </c>
      <c r="FW15" s="64">
        <f t="shared" si="86"/>
        <v>0</v>
      </c>
      <c r="FX15" s="64">
        <f t="shared" si="87"/>
        <v>8.9423076923081206E-4</v>
      </c>
      <c r="FY15" s="64">
        <f t="shared" si="88"/>
        <v>7.7500000000002946E-4</v>
      </c>
      <c r="FZ15" s="280">
        <f t="shared" si="89"/>
        <v>4.9600000000000278E-3</v>
      </c>
      <c r="GA15" s="64"/>
      <c r="GB15" s="89">
        <v>2025</v>
      </c>
      <c r="GC15" s="278">
        <f t="shared" si="90"/>
        <v>0.98333333333333328</v>
      </c>
      <c r="GE15" s="278">
        <f t="shared" si="91"/>
        <v>0.86721041550164146</v>
      </c>
      <c r="GF15" s="278">
        <f t="shared" si="92"/>
        <v>0.05</v>
      </c>
      <c r="GG15" s="64">
        <f t="shared" si="93"/>
        <v>2.3758790330434782E-2</v>
      </c>
      <c r="GH15" s="64">
        <f t="shared" si="94"/>
        <v>1.6846007843137251E-2</v>
      </c>
      <c r="GI15" s="64">
        <f t="shared" si="95"/>
        <v>4.2238442822384405E-2</v>
      </c>
      <c r="GJ15" s="64">
        <f t="shared" si="96"/>
        <v>1.797648012976482E-2</v>
      </c>
      <c r="GK15" s="64">
        <f t="shared" si="97"/>
        <v>8.6739659367396551E-3</v>
      </c>
      <c r="GL15" s="64">
        <f t="shared" si="98"/>
        <v>0</v>
      </c>
      <c r="GM15" s="64">
        <f t="shared" si="99"/>
        <v>8.9423076923081206E-4</v>
      </c>
      <c r="GN15" s="64">
        <f t="shared" si="100"/>
        <v>7.7500000000002946E-4</v>
      </c>
      <c r="GO15" s="280">
        <f t="shared" si="101"/>
        <v>4.9600000000000278E-3</v>
      </c>
      <c r="GP15" s="64"/>
      <c r="GQ15" s="89">
        <v>2025</v>
      </c>
      <c r="GR15" s="278">
        <f t="shared" si="102"/>
        <v>0.98333333333333328</v>
      </c>
      <c r="GT15" s="278">
        <f t="shared" si="103"/>
        <v>0.87220774561178638</v>
      </c>
      <c r="GU15" s="278">
        <f t="shared" si="104"/>
        <v>0.05</v>
      </c>
      <c r="GV15" s="64">
        <f t="shared" si="105"/>
        <v>1.5839193553623194E-2</v>
      </c>
      <c r="GW15" s="64">
        <f t="shared" si="106"/>
        <v>1.9768274509803913E-2</v>
      </c>
      <c r="GX15" s="64">
        <f t="shared" si="107"/>
        <v>4.2238442822384405E-2</v>
      </c>
      <c r="GY15" s="64">
        <f t="shared" si="108"/>
        <v>1.797648012976482E-2</v>
      </c>
      <c r="GZ15" s="64">
        <f t="shared" si="109"/>
        <v>8.6739659367396551E-3</v>
      </c>
      <c r="HA15" s="64">
        <f t="shared" si="110"/>
        <v>0</v>
      </c>
      <c r="HB15" s="64">
        <f t="shared" si="111"/>
        <v>8.9423076923081206E-4</v>
      </c>
      <c r="HC15" s="64">
        <f t="shared" si="112"/>
        <v>7.7500000000002946E-4</v>
      </c>
      <c r="HD15" s="280">
        <f t="shared" si="113"/>
        <v>4.9600000000000278E-3</v>
      </c>
      <c r="HE15" s="64"/>
      <c r="HF15" s="89">
        <v>2025</v>
      </c>
      <c r="HG15" s="278">
        <f t="shared" si="114"/>
        <v>0.98333333333333328</v>
      </c>
      <c r="HI15" s="278">
        <f t="shared" si="115"/>
        <v>0.87720507572193129</v>
      </c>
      <c r="HJ15" s="278">
        <f t="shared" si="116"/>
        <v>0.05</v>
      </c>
      <c r="HK15" s="64">
        <f t="shared" si="117"/>
        <v>7.9195967768115934E-3</v>
      </c>
      <c r="HL15" s="64">
        <f t="shared" si="118"/>
        <v>2.2690541176470579E-2</v>
      </c>
      <c r="HM15" s="64">
        <f t="shared" si="119"/>
        <v>4.2238442822384405E-2</v>
      </c>
      <c r="HN15" s="64">
        <f t="shared" si="120"/>
        <v>1.797648012976482E-2</v>
      </c>
      <c r="HO15" s="64">
        <f t="shared" si="121"/>
        <v>8.6739659367396551E-3</v>
      </c>
      <c r="HP15" s="64">
        <f t="shared" si="122"/>
        <v>0</v>
      </c>
      <c r="HQ15" s="64">
        <f t="shared" si="123"/>
        <v>8.9423076923081206E-4</v>
      </c>
      <c r="HR15" s="64">
        <f t="shared" si="124"/>
        <v>7.7500000000002946E-4</v>
      </c>
      <c r="HS15" s="280">
        <f t="shared" si="125"/>
        <v>4.9600000000000278E-3</v>
      </c>
      <c r="HT15" s="64"/>
      <c r="HU15" s="89">
        <v>2025</v>
      </c>
      <c r="HV15" s="278">
        <f t="shared" si="126"/>
        <v>0.98333333333333328</v>
      </c>
      <c r="HX15" s="278">
        <f t="shared" si="127"/>
        <v>0.87961779175739596</v>
      </c>
      <c r="HY15" s="278">
        <f t="shared" si="128"/>
        <v>0.05</v>
      </c>
      <c r="HZ15" s="64">
        <f t="shared" si="129"/>
        <v>3.9597983884057933E-3</v>
      </c>
      <c r="IA15" s="64">
        <f t="shared" si="130"/>
        <v>2.4237623529411757E-2</v>
      </c>
      <c r="IB15" s="64">
        <f t="shared" si="131"/>
        <v>4.2238442822384405E-2</v>
      </c>
      <c r="IC15" s="64">
        <f t="shared" si="132"/>
        <v>1.797648012976482E-2</v>
      </c>
      <c r="ID15" s="64">
        <f t="shared" si="133"/>
        <v>8.6739659367396551E-3</v>
      </c>
      <c r="IE15" s="64">
        <f t="shared" si="134"/>
        <v>0</v>
      </c>
      <c r="IF15" s="64">
        <f t="shared" si="135"/>
        <v>8.9423076923081206E-4</v>
      </c>
      <c r="IG15" s="64">
        <f t="shared" si="136"/>
        <v>7.7500000000002946E-4</v>
      </c>
      <c r="IH15" s="280">
        <f t="shared" si="137"/>
        <v>4.9600000000000278E-3</v>
      </c>
      <c r="II15" s="64"/>
      <c r="IJ15" s="89">
        <v>2025</v>
      </c>
      <c r="IK15" s="278">
        <f t="shared" si="138"/>
        <v>0.98333333333333328</v>
      </c>
      <c r="IM15" s="278">
        <f t="shared" si="139"/>
        <v>0.88203050779286063</v>
      </c>
      <c r="IN15" s="278">
        <f t="shared" si="140"/>
        <v>0.05</v>
      </c>
      <c r="IO15" s="64">
        <v>0</v>
      </c>
      <c r="IP15" s="64">
        <f t="shared" si="141"/>
        <v>2.5784705882352932E-2</v>
      </c>
      <c r="IQ15" s="64">
        <f t="shared" si="142"/>
        <v>4.2238442822384405E-2</v>
      </c>
      <c r="IR15" s="64">
        <f t="shared" si="143"/>
        <v>1.797648012976482E-2</v>
      </c>
      <c r="IS15" s="64">
        <f t="shared" si="144"/>
        <v>8.6739659367396551E-3</v>
      </c>
      <c r="IT15" s="64">
        <f t="shared" si="145"/>
        <v>0</v>
      </c>
      <c r="IU15" s="64">
        <f t="shared" si="146"/>
        <v>8.9423076923081206E-4</v>
      </c>
      <c r="IV15" s="64">
        <f t="shared" si="147"/>
        <v>7.7500000000002946E-4</v>
      </c>
      <c r="IW15" s="280">
        <f t="shared" si="148"/>
        <v>4.9600000000000278E-3</v>
      </c>
      <c r="IX15" s="64"/>
      <c r="IY15" s="3">
        <f t="shared" si="149"/>
        <v>0.70000000000000018</v>
      </c>
      <c r="IZ15">
        <f t="shared" si="34"/>
        <v>2025</v>
      </c>
      <c r="JA15" s="3">
        <f t="shared" si="150"/>
        <v>5.5012328411261935</v>
      </c>
      <c r="JB15" s="353">
        <f>HLOOKUP('1 StrategyMix for CarbonTargets'!$V$46,'Stress calculations'!JI$8:JU$39,8,FALSE)</f>
        <v>5.7504404350000593</v>
      </c>
      <c r="JC15" s="3">
        <f t="shared" si="151"/>
        <v>5.8</v>
      </c>
      <c r="JD15" s="353">
        <f t="shared" si="152"/>
        <v>6.1052631578947372</v>
      </c>
      <c r="JE15" s="418">
        <f t="shared" si="35"/>
        <v>0.69999999999999973</v>
      </c>
      <c r="JF15" s="368">
        <f t="shared" si="153"/>
        <v>4.9499999999999993</v>
      </c>
      <c r="JG15" s="369">
        <f t="shared" si="154"/>
        <v>5.2105263157894735</v>
      </c>
      <c r="JH15" s="363">
        <f t="shared" si="155"/>
        <v>5.4532542269346163</v>
      </c>
      <c r="JI15" s="362">
        <f t="shared" si="36"/>
        <v>5.7402676072995966</v>
      </c>
      <c r="JJ15" s="366">
        <f t="shared" si="37"/>
        <v>5.4629184132500557</v>
      </c>
      <c r="JK15" s="367">
        <f t="shared" si="8"/>
        <v>5.7504404350000593</v>
      </c>
      <c r="JL15" s="363">
        <f t="shared" si="38"/>
        <v>5.4725825995654951</v>
      </c>
      <c r="JM15" s="362">
        <f t="shared" si="39"/>
        <v>5.7606132627005211</v>
      </c>
      <c r="JN15" s="366">
        <f t="shared" si="156"/>
        <v>5.4822467858809354</v>
      </c>
      <c r="JO15" s="367">
        <f t="shared" si="40"/>
        <v>5.7707860904009847</v>
      </c>
      <c r="JP15" s="363">
        <f t="shared" si="157"/>
        <v>5.4919109721963748</v>
      </c>
      <c r="JQ15" s="362">
        <f t="shared" si="41"/>
        <v>5.7809589181014474</v>
      </c>
      <c r="JR15" s="366">
        <f t="shared" si="158"/>
        <v>5.496571906661285</v>
      </c>
      <c r="JS15" s="367">
        <f t="shared" si="42"/>
        <v>5.7858651649066157</v>
      </c>
      <c r="JT15" s="363">
        <f t="shared" si="159"/>
        <v>5.5012328411261935</v>
      </c>
      <c r="JU15" s="362">
        <f t="shared" si="43"/>
        <v>5.7907714117117832</v>
      </c>
    </row>
    <row r="16" spans="1:281">
      <c r="A16" s="259">
        <f>'1 StrategyMix for CarbonTargets'!V17</f>
        <v>0.2</v>
      </c>
      <c r="B16" s="247"/>
      <c r="C16" s="247"/>
      <c r="D16" s="247"/>
      <c r="E16" s="293"/>
      <c r="F16" s="293"/>
      <c r="G16" s="293"/>
      <c r="H16" s="297" cm="1">
        <f t="array" ref="H16">INDEX(WfH!G9:G53,MATCH(1,(A11=WfH!A9:A53)*(A16=WfH!B9:B53),0))</f>
        <v>3.3600000000000005E-2</v>
      </c>
      <c r="I16" s="298" cm="1">
        <f t="array" ref="I16">INDEX(WfH!I9:I53,MATCH(1,(A11=WfH!A9:A53)*(A16=WfH!B9:B53),0))</f>
        <v>3.1199999999999999E-2</v>
      </c>
      <c r="J16" s="299" cm="1">
        <f t="array" ref="J16">INDEX(WfH!H9:H53,MATCH(1,(A11=WfH!A9:A53)*(A16=WfH!B9:B53),0))</f>
        <v>2.8799999999999999E-2</v>
      </c>
      <c r="K16" s="5"/>
      <c r="AM16" s="269"/>
      <c r="AO16" s="89">
        <v>2026</v>
      </c>
      <c r="AP16" s="170">
        <f t="shared" si="160"/>
        <v>-5.7600000000000004E-3</v>
      </c>
      <c r="AQ16" s="170">
        <f t="shared" si="160"/>
        <v>-1.0000000000000002E-3</v>
      </c>
      <c r="AR16" s="170">
        <f t="shared" si="160"/>
        <v>-1.7307692307692306E-3</v>
      </c>
      <c r="AS16" s="170">
        <f t="shared" si="160"/>
        <v>0</v>
      </c>
      <c r="AU16" s="170">
        <f t="shared" si="161"/>
        <v>-1.007299270072993E-2</v>
      </c>
      <c r="AV16" s="170">
        <f t="shared" si="162"/>
        <v>-2.0875912408759124E-2</v>
      </c>
      <c r="AW16" s="170">
        <f t="shared" si="163"/>
        <v>-4.9051094890510946E-2</v>
      </c>
      <c r="AY16" s="170">
        <f t="shared" si="164"/>
        <v>-2.9943529411764692E-2</v>
      </c>
      <c r="AZ16" s="278">
        <f t="shared" si="165"/>
        <v>1.9962352941176463E-3</v>
      </c>
      <c r="BA16" s="284">
        <f t="shared" si="166"/>
        <v>-2.3624472626086933E-2</v>
      </c>
      <c r="BB16" s="276">
        <f t="shared" si="167"/>
        <v>-8.6210555362318791E-3</v>
      </c>
      <c r="BC16" s="277">
        <f t="shared" si="168"/>
        <v>-5.2498828057970957E-3</v>
      </c>
      <c r="BD16" s="278">
        <f t="shared" si="169"/>
        <v>1.9962352941176463E-3</v>
      </c>
      <c r="BE16" s="284">
        <f t="shared" si="170"/>
        <v>-2.3624472626086974E-2</v>
      </c>
      <c r="BF16" s="276">
        <f t="shared" si="171"/>
        <v>-8.6210555362318791E-3</v>
      </c>
      <c r="BG16" s="277">
        <f t="shared" si="9"/>
        <v>-5.2498828057971052E-3</v>
      </c>
      <c r="BH16" s="278">
        <f t="shared" si="172"/>
        <v>3.7706666666666652E-3</v>
      </c>
      <c r="BI16" s="284">
        <f t="shared" si="173"/>
        <v>-4.7248945252173935E-2</v>
      </c>
      <c r="BJ16" s="276">
        <f t="shared" si="174"/>
        <v>-1.7242111072463782E-2</v>
      </c>
      <c r="BK16" s="277">
        <f t="shared" si="10"/>
        <v>-1.0499765611594207E-2</v>
      </c>
      <c r="BL16" s="278">
        <f t="shared" si="175"/>
        <v>3.7706666666666652E-3</v>
      </c>
      <c r="BM16" s="284">
        <f t="shared" si="176"/>
        <v>-4.7248945252173893E-2</v>
      </c>
      <c r="BN16" s="276">
        <f t="shared" si="177"/>
        <v>-1.7242111072463751E-2</v>
      </c>
      <c r="BO16" s="277">
        <f t="shared" si="11"/>
        <v>-1.0499765611594197E-2</v>
      </c>
      <c r="BP16" s="278">
        <f t="shared" si="178"/>
        <v>3.7706666666666652E-3</v>
      </c>
      <c r="BQ16" s="284">
        <f t="shared" si="179"/>
        <v>-4.7248945252173949E-2</v>
      </c>
      <c r="BR16" s="276">
        <f t="shared" si="180"/>
        <v>-1.7242111072463776E-2</v>
      </c>
      <c r="BS16" s="277">
        <f t="shared" si="12"/>
        <v>-1.049976561159421E-2</v>
      </c>
      <c r="BT16" s="278">
        <f t="shared" si="181"/>
        <v>3.7706666666666652E-3</v>
      </c>
      <c r="BU16" s="284">
        <f t="shared" si="182"/>
        <v>-4.7248945252173893E-2</v>
      </c>
      <c r="BV16" s="276">
        <f t="shared" si="183"/>
        <v>-1.7242111072463765E-2</v>
      </c>
      <c r="BW16" s="278">
        <f t="shared" si="13"/>
        <v>-1.0499765611594198E-2</v>
      </c>
      <c r="BX16" s="391">
        <f t="shared" si="44"/>
        <v>-1.4639058823529404E-2</v>
      </c>
      <c r="BY16" s="388">
        <f t="shared" si="45"/>
        <v>-4.1999062446376814E-2</v>
      </c>
      <c r="BZ16" s="409">
        <f t="shared" si="184"/>
        <v>0.17777777777777778</v>
      </c>
      <c r="CB16" s="279">
        <f t="shared" si="14"/>
        <v>-0.11843429864253392</v>
      </c>
      <c r="CC16" s="64">
        <f t="shared" si="15"/>
        <v>-0.12168794615421337</v>
      </c>
      <c r="CD16" s="64">
        <f t="shared" si="16"/>
        <v>-0.12494159366589283</v>
      </c>
      <c r="CE16" s="64">
        <f t="shared" si="17"/>
        <v>-0.13167069261082037</v>
      </c>
      <c r="CF16" s="64">
        <f t="shared" si="18"/>
        <v>-0.13839979155574789</v>
      </c>
      <c r="CG16" s="64">
        <f t="shared" si="19"/>
        <v>-0.14512889050067543</v>
      </c>
      <c r="CH16" s="64">
        <f t="shared" si="20"/>
        <v>-0.15185798944560294</v>
      </c>
      <c r="CI16">
        <v>2026</v>
      </c>
      <c r="CJ16" s="240"/>
      <c r="CL16">
        <v>2026</v>
      </c>
      <c r="CM16" s="3">
        <f t="shared" si="46"/>
        <v>0.95</v>
      </c>
      <c r="CN16" s="64">
        <f t="shared" si="21"/>
        <v>0.94423999999999997</v>
      </c>
      <c r="CO16" s="64">
        <f t="shared" si="21"/>
        <v>0.94323999999999997</v>
      </c>
      <c r="CP16" s="64">
        <f t="shared" si="21"/>
        <v>0.94150923076923076</v>
      </c>
      <c r="CQ16" s="64">
        <f t="shared" si="21"/>
        <v>0.94150923076923076</v>
      </c>
      <c r="CR16" s="64">
        <f t="shared" si="22"/>
        <v>0.93143623806850084</v>
      </c>
      <c r="CS16" s="64">
        <f t="shared" si="22"/>
        <v>0.91056032565974176</v>
      </c>
      <c r="CT16" s="64">
        <f t="shared" si="22"/>
        <v>0.8615092307692308</v>
      </c>
      <c r="CU16" s="64">
        <f t="shared" si="23"/>
        <v>0.8315657013574661</v>
      </c>
      <c r="CV16" s="64">
        <f t="shared" si="23"/>
        <v>0.83356193665158373</v>
      </c>
      <c r="CW16" s="65">
        <f t="shared" si="47"/>
        <v>0.82831205384578666</v>
      </c>
      <c r="CX16" s="64">
        <f t="shared" si="48"/>
        <v>0.83555817194570137</v>
      </c>
      <c r="CY16" s="65">
        <f t="shared" si="49"/>
        <v>0.82505840633410721</v>
      </c>
      <c r="CZ16" s="64">
        <f t="shared" si="50"/>
        <v>0.83932883861236807</v>
      </c>
      <c r="DA16" s="65">
        <f t="shared" si="51"/>
        <v>0.81832930738917975</v>
      </c>
      <c r="DB16" s="64">
        <f t="shared" si="52"/>
        <v>0.84309950527903477</v>
      </c>
      <c r="DC16" s="65">
        <f t="shared" si="53"/>
        <v>0.81160020844425229</v>
      </c>
      <c r="DD16" s="64">
        <f t="shared" si="54"/>
        <v>0.84687017194570147</v>
      </c>
      <c r="DE16" s="65">
        <f t="shared" si="55"/>
        <v>0.80487110949932483</v>
      </c>
      <c r="DF16" s="64">
        <f t="shared" si="56"/>
        <v>0.85064083861236817</v>
      </c>
      <c r="DG16" s="65">
        <f t="shared" si="57"/>
        <v>0.79814201055439737</v>
      </c>
      <c r="DL16">
        <v>2026</v>
      </c>
      <c r="DM16" s="64">
        <f t="shared" si="58"/>
        <v>0.79814201055439737</v>
      </c>
      <c r="DN16" s="64">
        <f t="shared" si="59"/>
        <v>0.80487110949932483</v>
      </c>
      <c r="DO16" s="64">
        <f t="shared" si="60"/>
        <v>0.81160020844425229</v>
      </c>
      <c r="DP16" s="64">
        <f t="shared" si="61"/>
        <v>0.81832930738917975</v>
      </c>
      <c r="DQ16" s="64">
        <f t="shared" si="62"/>
        <v>0.82505840633410721</v>
      </c>
      <c r="DR16" s="64">
        <f t="shared" si="63"/>
        <v>0.82831205384578666</v>
      </c>
      <c r="DS16" s="64">
        <f t="shared" si="24"/>
        <v>0.8315657013574661</v>
      </c>
      <c r="DT16" s="64">
        <f t="shared" si="25"/>
        <v>0.8615092307692308</v>
      </c>
      <c r="DU16" s="64">
        <f t="shared" si="26"/>
        <v>0.91056032565974176</v>
      </c>
      <c r="DV16" s="64">
        <f t="shared" si="27"/>
        <v>0.93143623806850084</v>
      </c>
      <c r="DW16" s="64">
        <f t="shared" si="28"/>
        <v>0.94150923076923076</v>
      </c>
      <c r="DX16" s="64">
        <f t="shared" si="29"/>
        <v>0.94150923076923076</v>
      </c>
      <c r="DY16" s="64">
        <f t="shared" si="30"/>
        <v>0.94323999999999997</v>
      </c>
      <c r="DZ16" s="64">
        <f t="shared" si="31"/>
        <v>0.94423999999999997</v>
      </c>
      <c r="EA16" s="3">
        <f t="shared" si="64"/>
        <v>0.95</v>
      </c>
      <c r="EB16">
        <v>2026</v>
      </c>
      <c r="EC16" s="269">
        <f t="shared" si="65"/>
        <v>0.79814201055439749</v>
      </c>
      <c r="ED16" s="269">
        <f t="shared" si="66"/>
        <v>0.05</v>
      </c>
      <c r="EE16" s="64">
        <f t="shared" si="32"/>
        <v>6.7290989449274585E-3</v>
      </c>
      <c r="EF16" s="64">
        <f t="shared" si="32"/>
        <v>6.7290989449274585E-3</v>
      </c>
      <c r="EG16" s="64">
        <f t="shared" si="32"/>
        <v>6.7290989449274585E-3</v>
      </c>
      <c r="EH16" s="64">
        <f t="shared" si="32"/>
        <v>6.7290989449274585E-3</v>
      </c>
      <c r="EI16" s="64">
        <f t="shared" si="32"/>
        <v>3.2536475116794472E-3</v>
      </c>
      <c r="EJ16" s="64">
        <f t="shared" si="32"/>
        <v>3.2536475116794472E-3</v>
      </c>
      <c r="EK16" s="64">
        <f t="shared" si="32"/>
        <v>2.9943529411764702E-2</v>
      </c>
      <c r="EL16" s="64">
        <f t="shared" si="32"/>
        <v>4.905109489051096E-2</v>
      </c>
      <c r="EM16" s="64">
        <f t="shared" si="32"/>
        <v>2.0875912408759079E-2</v>
      </c>
      <c r="EN16" s="64">
        <f t="shared" si="32"/>
        <v>1.0072992700729921E-2</v>
      </c>
      <c r="EO16" s="64">
        <f t="shared" si="32"/>
        <v>0</v>
      </c>
      <c r="EP16" s="64">
        <f t="shared" si="32"/>
        <v>1.7307692307692024E-3</v>
      </c>
      <c r="EQ16" s="64">
        <f t="shared" si="32"/>
        <v>1.0000000000000009E-3</v>
      </c>
      <c r="ER16" s="64">
        <f t="shared" si="32"/>
        <v>5.7599999999999874E-3</v>
      </c>
      <c r="EX16" s="89">
        <v>2026</v>
      </c>
      <c r="EY16" s="278">
        <f t="shared" si="67"/>
        <v>0.99</v>
      </c>
      <c r="EZ16" s="278"/>
      <c r="FA16" s="278">
        <f t="shared" si="68"/>
        <v>0.83206769097657296</v>
      </c>
      <c r="FB16" s="278">
        <f t="shared" si="33"/>
        <v>0.05</v>
      </c>
      <c r="FC16" s="64">
        <f t="shared" si="69"/>
        <v>5.4598781180289858E-2</v>
      </c>
      <c r="FD16" s="64">
        <f t="shared" si="70"/>
        <v>1.1303127843137249E-2</v>
      </c>
      <c r="FE16" s="64">
        <f t="shared" si="71"/>
        <v>5.1013138686131401E-2</v>
      </c>
      <c r="FF16" s="64">
        <f t="shared" si="72"/>
        <v>2.1710948905109443E-2</v>
      </c>
      <c r="FG16" s="64">
        <f t="shared" si="73"/>
        <v>1.0475912408759119E-2</v>
      </c>
      <c r="FH16" s="64">
        <f t="shared" si="74"/>
        <v>0</v>
      </c>
      <c r="FI16" s="64">
        <f t="shared" si="75"/>
        <v>1.7999999999999707E-3</v>
      </c>
      <c r="FJ16" s="64">
        <f t="shared" si="76"/>
        <v>1.040000000000001E-3</v>
      </c>
      <c r="FK16" s="280">
        <f t="shared" si="77"/>
        <v>5.9903999999999869E-3</v>
      </c>
      <c r="FL16" s="64"/>
      <c r="FM16" s="89">
        <v>2026</v>
      </c>
      <c r="FN16" s="278">
        <f t="shared" si="78"/>
        <v>0.99</v>
      </c>
      <c r="FP16" s="278">
        <f t="shared" si="79"/>
        <v>0.83906595387929761</v>
      </c>
      <c r="FQ16" s="278">
        <f t="shared" si="80"/>
        <v>0.05</v>
      </c>
      <c r="FR16" s="64">
        <f t="shared" si="81"/>
        <v>4.3679024944231891E-2</v>
      </c>
      <c r="FS16" s="64">
        <f t="shared" si="82"/>
        <v>1.5224621176470582E-2</v>
      </c>
      <c r="FT16" s="64">
        <f t="shared" si="83"/>
        <v>5.1013138686131401E-2</v>
      </c>
      <c r="FU16" s="64">
        <f t="shared" si="84"/>
        <v>2.1710948905109443E-2</v>
      </c>
      <c r="FV16" s="64">
        <f t="shared" si="85"/>
        <v>1.0475912408759119E-2</v>
      </c>
      <c r="FW16" s="64">
        <f t="shared" si="86"/>
        <v>0</v>
      </c>
      <c r="FX16" s="64">
        <f t="shared" si="87"/>
        <v>1.7999999999999707E-3</v>
      </c>
      <c r="FY16" s="64">
        <f t="shared" si="88"/>
        <v>1.040000000000001E-3</v>
      </c>
      <c r="FZ16" s="280">
        <f t="shared" si="89"/>
        <v>5.9903999999999869E-3</v>
      </c>
      <c r="GA16" s="64"/>
      <c r="GB16" s="89">
        <v>2026</v>
      </c>
      <c r="GC16" s="278">
        <f t="shared" si="90"/>
        <v>0.99</v>
      </c>
      <c r="GE16" s="278">
        <f t="shared" si="91"/>
        <v>0.84606421678202226</v>
      </c>
      <c r="GF16" s="278">
        <f t="shared" si="92"/>
        <v>0.05</v>
      </c>
      <c r="GG16" s="64">
        <f t="shared" si="93"/>
        <v>3.2759268708173903E-2</v>
      </c>
      <c r="GH16" s="64">
        <f t="shared" si="94"/>
        <v>1.9146114509803913E-2</v>
      </c>
      <c r="GI16" s="64">
        <f t="shared" si="95"/>
        <v>5.1013138686131401E-2</v>
      </c>
      <c r="GJ16" s="64">
        <f t="shared" si="96"/>
        <v>2.1710948905109443E-2</v>
      </c>
      <c r="GK16" s="64">
        <f t="shared" si="97"/>
        <v>1.0475912408759119E-2</v>
      </c>
      <c r="GL16" s="64">
        <f t="shared" si="98"/>
        <v>0</v>
      </c>
      <c r="GM16" s="64">
        <f t="shared" si="99"/>
        <v>1.7999999999999707E-3</v>
      </c>
      <c r="GN16" s="64">
        <f t="shared" si="100"/>
        <v>1.040000000000001E-3</v>
      </c>
      <c r="GO16" s="280">
        <f t="shared" si="101"/>
        <v>5.9903999999999869E-3</v>
      </c>
      <c r="GP16" s="64"/>
      <c r="GQ16" s="89">
        <v>2026</v>
      </c>
      <c r="GR16" s="278">
        <f t="shared" si="102"/>
        <v>0.99</v>
      </c>
      <c r="GT16" s="278">
        <f t="shared" si="103"/>
        <v>0.85306247968474691</v>
      </c>
      <c r="GU16" s="278">
        <f t="shared" si="104"/>
        <v>0.05</v>
      </c>
      <c r="GV16" s="64">
        <f t="shared" si="105"/>
        <v>2.1839512472115945E-2</v>
      </c>
      <c r="GW16" s="64">
        <f t="shared" si="106"/>
        <v>2.3067607843137244E-2</v>
      </c>
      <c r="GX16" s="64">
        <f t="shared" si="107"/>
        <v>5.1013138686131401E-2</v>
      </c>
      <c r="GY16" s="64">
        <f t="shared" si="108"/>
        <v>2.1710948905109443E-2</v>
      </c>
      <c r="GZ16" s="64">
        <f t="shared" si="109"/>
        <v>1.0475912408759119E-2</v>
      </c>
      <c r="HA16" s="64">
        <f t="shared" si="110"/>
        <v>0</v>
      </c>
      <c r="HB16" s="64">
        <f t="shared" si="111"/>
        <v>1.7999999999999707E-3</v>
      </c>
      <c r="HC16" s="64">
        <f t="shared" si="112"/>
        <v>1.040000000000001E-3</v>
      </c>
      <c r="HD16" s="280">
        <f t="shared" si="113"/>
        <v>5.9903999999999869E-3</v>
      </c>
      <c r="HE16" s="64"/>
      <c r="HF16" s="89">
        <v>2026</v>
      </c>
      <c r="HG16" s="278">
        <f t="shared" si="114"/>
        <v>0.99</v>
      </c>
      <c r="HI16" s="278">
        <f t="shared" si="115"/>
        <v>0.86006074258747156</v>
      </c>
      <c r="HJ16" s="278">
        <f t="shared" si="116"/>
        <v>0.05</v>
      </c>
      <c r="HK16" s="64">
        <f t="shared" si="117"/>
        <v>1.0919756236057969E-2</v>
      </c>
      <c r="HL16" s="64">
        <f t="shared" si="118"/>
        <v>2.6989101176470576E-2</v>
      </c>
      <c r="HM16" s="64">
        <f t="shared" si="119"/>
        <v>5.1013138686131401E-2</v>
      </c>
      <c r="HN16" s="64">
        <f t="shared" si="120"/>
        <v>2.1710948905109443E-2</v>
      </c>
      <c r="HO16" s="64">
        <f t="shared" si="121"/>
        <v>1.0475912408759119E-2</v>
      </c>
      <c r="HP16" s="64">
        <f t="shared" si="122"/>
        <v>0</v>
      </c>
      <c r="HQ16" s="64">
        <f t="shared" si="123"/>
        <v>1.7999999999999707E-3</v>
      </c>
      <c r="HR16" s="64">
        <f t="shared" si="124"/>
        <v>1.040000000000001E-3</v>
      </c>
      <c r="HS16" s="280">
        <f t="shared" si="125"/>
        <v>5.9903999999999869E-3</v>
      </c>
      <c r="HT16" s="64"/>
      <c r="HU16" s="89">
        <v>2026</v>
      </c>
      <c r="HV16" s="278">
        <f t="shared" si="126"/>
        <v>0.99</v>
      </c>
      <c r="HX16" s="278">
        <f t="shared" si="127"/>
        <v>0.86344453599961812</v>
      </c>
      <c r="HY16" s="278">
        <f t="shared" si="128"/>
        <v>0.05</v>
      </c>
      <c r="HZ16" s="64">
        <f t="shared" si="129"/>
        <v>5.4598781180289794E-3</v>
      </c>
      <c r="IA16" s="64">
        <f t="shared" si="130"/>
        <v>2.9065185882352927E-2</v>
      </c>
      <c r="IB16" s="64">
        <f t="shared" si="131"/>
        <v>5.1013138686131401E-2</v>
      </c>
      <c r="IC16" s="64">
        <f t="shared" si="132"/>
        <v>2.1710948905109443E-2</v>
      </c>
      <c r="ID16" s="64">
        <f t="shared" si="133"/>
        <v>1.0475912408759119E-2</v>
      </c>
      <c r="IE16" s="64">
        <f t="shared" si="134"/>
        <v>0</v>
      </c>
      <c r="IF16" s="64">
        <f t="shared" si="135"/>
        <v>1.7999999999999707E-3</v>
      </c>
      <c r="IG16" s="64">
        <f t="shared" si="136"/>
        <v>1.040000000000001E-3</v>
      </c>
      <c r="IH16" s="280">
        <f t="shared" si="137"/>
        <v>5.9903999999999869E-3</v>
      </c>
      <c r="II16" s="64"/>
      <c r="IJ16" s="89">
        <v>2026</v>
      </c>
      <c r="IK16" s="278">
        <f t="shared" si="138"/>
        <v>0.99</v>
      </c>
      <c r="IM16" s="278">
        <f t="shared" si="139"/>
        <v>0.8668283294117648</v>
      </c>
      <c r="IN16" s="278">
        <f t="shared" si="140"/>
        <v>0.05</v>
      </c>
      <c r="IO16" s="64">
        <v>0</v>
      </c>
      <c r="IP16" s="64">
        <f t="shared" si="141"/>
        <v>3.1141270588235282E-2</v>
      </c>
      <c r="IQ16" s="64">
        <f t="shared" si="142"/>
        <v>5.1013138686131401E-2</v>
      </c>
      <c r="IR16" s="64">
        <f t="shared" si="143"/>
        <v>2.1710948905109443E-2</v>
      </c>
      <c r="IS16" s="64">
        <f t="shared" si="144"/>
        <v>1.0475912408759119E-2</v>
      </c>
      <c r="IT16" s="64">
        <f t="shared" si="145"/>
        <v>0</v>
      </c>
      <c r="IU16" s="64">
        <f t="shared" si="146"/>
        <v>1.7999999999999707E-3</v>
      </c>
      <c r="IV16" s="64">
        <f t="shared" si="147"/>
        <v>1.040000000000001E-3</v>
      </c>
      <c r="IW16" s="280">
        <f t="shared" si="148"/>
        <v>5.9903999999999869E-3</v>
      </c>
      <c r="IX16" s="64"/>
      <c r="IY16" s="3">
        <f t="shared" si="149"/>
        <v>0.64999999999999947</v>
      </c>
      <c r="IZ16">
        <f t="shared" si="34"/>
        <v>2026</v>
      </c>
      <c r="JA16" s="3">
        <f t="shared" si="150"/>
        <v>6.3680611705379579</v>
      </c>
      <c r="JB16" s="353">
        <f>HLOOKUP('1 StrategyMix for CarbonTargets'!$V$46,'Stress calculations'!JI$8:JU$39,9,FALSE)</f>
        <v>6.6336677548730041</v>
      </c>
      <c r="JC16" s="3">
        <f t="shared" si="151"/>
        <v>6.79</v>
      </c>
      <c r="JD16" s="353">
        <f t="shared" si="152"/>
        <v>7.147368421052632</v>
      </c>
      <c r="JE16" s="418">
        <f t="shared" si="35"/>
        <v>0.64999999999999969</v>
      </c>
      <c r="JF16" s="368">
        <f t="shared" si="153"/>
        <v>5.5999999999999988</v>
      </c>
      <c r="JG16" s="369">
        <f t="shared" si="154"/>
        <v>5.8947368421052619</v>
      </c>
      <c r="JH16" s="363">
        <f t="shared" si="155"/>
        <v>6.2853219179111894</v>
      </c>
      <c r="JI16" s="362">
        <f t="shared" si="36"/>
        <v>6.6161283346433573</v>
      </c>
      <c r="JJ16" s="366">
        <f t="shared" si="37"/>
        <v>6.3019843671293536</v>
      </c>
      <c r="JK16" s="367">
        <f t="shared" si="8"/>
        <v>6.6336677548730041</v>
      </c>
      <c r="JL16" s="363">
        <f t="shared" si="38"/>
        <v>6.3186468163475169</v>
      </c>
      <c r="JM16" s="362">
        <f t="shared" si="39"/>
        <v>6.65120717510265</v>
      </c>
      <c r="JN16" s="366">
        <f t="shared" si="156"/>
        <v>6.335309265565682</v>
      </c>
      <c r="JO16" s="367">
        <f t="shared" si="40"/>
        <v>6.6687465953322969</v>
      </c>
      <c r="JP16" s="363">
        <f t="shared" si="157"/>
        <v>6.3519717147838461</v>
      </c>
      <c r="JQ16" s="362">
        <f t="shared" si="41"/>
        <v>6.6862860155619437</v>
      </c>
      <c r="JR16" s="366">
        <f t="shared" si="158"/>
        <v>6.3600164426609034</v>
      </c>
      <c r="JS16" s="367">
        <f t="shared" si="42"/>
        <v>6.6947541501693726</v>
      </c>
      <c r="JT16" s="363">
        <f t="shared" si="159"/>
        <v>6.3680611705379579</v>
      </c>
      <c r="JU16" s="362">
        <f t="shared" si="43"/>
        <v>6.7032222847767979</v>
      </c>
    </row>
    <row r="17" spans="1:283">
      <c r="A17" s="247"/>
      <c r="B17" s="247"/>
      <c r="C17" s="247"/>
      <c r="D17" s="247"/>
      <c r="E17" s="247"/>
      <c r="F17" s="247"/>
      <c r="H17" s="300"/>
      <c r="J17" s="301"/>
      <c r="AO17" s="89">
        <v>2027</v>
      </c>
      <c r="AP17" s="170">
        <f t="shared" si="160"/>
        <v>-6.7200000000000003E-3</v>
      </c>
      <c r="AQ17" s="170">
        <f t="shared" si="160"/>
        <v>-1.2500000000000002E-3</v>
      </c>
      <c r="AR17" s="170">
        <f t="shared" si="160"/>
        <v>-2.5961538461538461E-3</v>
      </c>
      <c r="AS17" s="170">
        <f t="shared" si="160"/>
        <v>0</v>
      </c>
      <c r="AU17" s="170">
        <f t="shared" si="161"/>
        <v>-1.1751824817518252E-2</v>
      </c>
      <c r="AV17" s="170">
        <f t="shared" si="162"/>
        <v>-2.435523114355231E-2</v>
      </c>
      <c r="AW17" s="170">
        <f t="shared" si="163"/>
        <v>-5.7226277372262768E-2</v>
      </c>
      <c r="AY17" s="170">
        <f t="shared" si="164"/>
        <v>-3.493411764705881E-2</v>
      </c>
      <c r="AZ17" s="278">
        <f t="shared" si="165"/>
        <v>2.4952941176470578E-3</v>
      </c>
      <c r="BA17" s="284">
        <f t="shared" si="166"/>
        <v>-2.4256567513043455E-2</v>
      </c>
      <c r="BB17" s="276">
        <f t="shared" si="167"/>
        <v>-1.0776319420289849E-2</v>
      </c>
      <c r="BC17" s="277">
        <f t="shared" si="168"/>
        <v>-6.7379354202898485E-3</v>
      </c>
      <c r="BD17" s="278">
        <f t="shared" si="169"/>
        <v>2.4952941176470578E-3</v>
      </c>
      <c r="BE17" s="284">
        <f t="shared" si="170"/>
        <v>-2.4256567513043496E-2</v>
      </c>
      <c r="BF17" s="276">
        <f t="shared" si="171"/>
        <v>-1.0776319420289849E-2</v>
      </c>
      <c r="BG17" s="277">
        <f t="shared" si="9"/>
        <v>-6.7379354202898607E-3</v>
      </c>
      <c r="BH17" s="278">
        <f t="shared" si="172"/>
        <v>4.7133333333333315E-3</v>
      </c>
      <c r="BI17" s="284">
        <f t="shared" si="173"/>
        <v>-4.8513135026086979E-2</v>
      </c>
      <c r="BJ17" s="276">
        <f t="shared" si="174"/>
        <v>-2.155263884057973E-2</v>
      </c>
      <c r="BK17" s="277">
        <f t="shared" si="10"/>
        <v>-1.3475870840579716E-2</v>
      </c>
      <c r="BL17" s="278">
        <f t="shared" si="175"/>
        <v>4.7133333333333315E-3</v>
      </c>
      <c r="BM17" s="284">
        <f t="shared" si="176"/>
        <v>-4.8513135026086937E-2</v>
      </c>
      <c r="BN17" s="276">
        <f t="shared" si="177"/>
        <v>-2.1552638840579688E-2</v>
      </c>
      <c r="BO17" s="277">
        <f t="shared" si="11"/>
        <v>-1.3475870840579702E-2</v>
      </c>
      <c r="BP17" s="278">
        <f t="shared" si="178"/>
        <v>4.7133333333333315E-3</v>
      </c>
      <c r="BQ17" s="284">
        <f t="shared" si="179"/>
        <v>-4.8513135026086993E-2</v>
      </c>
      <c r="BR17" s="276">
        <f t="shared" si="180"/>
        <v>-2.1552638840579719E-2</v>
      </c>
      <c r="BS17" s="277">
        <f t="shared" si="12"/>
        <v>-1.347587084057972E-2</v>
      </c>
      <c r="BT17" s="278">
        <f t="shared" si="181"/>
        <v>4.7133333333333315E-3</v>
      </c>
      <c r="BU17" s="284">
        <f t="shared" si="182"/>
        <v>-4.8513135026086937E-2</v>
      </c>
      <c r="BV17" s="276">
        <f t="shared" si="183"/>
        <v>-2.1552638840579705E-2</v>
      </c>
      <c r="BW17" s="278">
        <f t="shared" si="13"/>
        <v>-1.3475870840579704E-2</v>
      </c>
      <c r="BX17" s="391">
        <f t="shared" si="44"/>
        <v>-1.5803529411764695E-2</v>
      </c>
      <c r="BY17" s="388">
        <f t="shared" si="45"/>
        <v>-5.3903483362318844E-2</v>
      </c>
      <c r="BZ17" s="409">
        <f t="shared" si="184"/>
        <v>0.22222222222222224</v>
      </c>
      <c r="CB17" s="279">
        <f t="shared" si="14"/>
        <v>-0.138833604826546</v>
      </c>
      <c r="CC17" s="64">
        <f t="shared" si="15"/>
        <v>-0.14307624612918879</v>
      </c>
      <c r="CD17" s="64">
        <f t="shared" si="16"/>
        <v>-0.14731888743183158</v>
      </c>
      <c r="CE17" s="64">
        <f t="shared" si="17"/>
        <v>-0.15608142493907798</v>
      </c>
      <c r="CF17" s="64">
        <f t="shared" si="18"/>
        <v>-0.16484396244632435</v>
      </c>
      <c r="CG17" s="64">
        <f t="shared" si="19"/>
        <v>-0.17360649995357075</v>
      </c>
      <c r="CH17" s="64">
        <f t="shared" si="20"/>
        <v>-0.18236903746081712</v>
      </c>
      <c r="CI17">
        <v>2027</v>
      </c>
      <c r="CJ17" s="240"/>
      <c r="CL17">
        <v>2027</v>
      </c>
      <c r="CM17" s="3">
        <f t="shared" si="46"/>
        <v>0.95</v>
      </c>
      <c r="CN17" s="64">
        <f t="shared" si="21"/>
        <v>0.94328000000000001</v>
      </c>
      <c r="CO17" s="64">
        <f t="shared" si="21"/>
        <v>0.94203000000000003</v>
      </c>
      <c r="CP17" s="64">
        <f t="shared" si="21"/>
        <v>0.93943384615384617</v>
      </c>
      <c r="CQ17" s="64">
        <f t="shared" si="21"/>
        <v>0.93943384615384617</v>
      </c>
      <c r="CR17" s="64">
        <f t="shared" si="22"/>
        <v>0.92768202133632793</v>
      </c>
      <c r="CS17" s="64">
        <f t="shared" si="22"/>
        <v>0.90332679019277562</v>
      </c>
      <c r="CT17" s="64">
        <f t="shared" si="22"/>
        <v>0.8461005128205128</v>
      </c>
      <c r="CU17" s="64">
        <f t="shared" si="23"/>
        <v>0.81116639517345401</v>
      </c>
      <c r="CV17" s="64">
        <f t="shared" si="23"/>
        <v>0.81366168929110105</v>
      </c>
      <c r="CW17" s="65">
        <f t="shared" si="47"/>
        <v>0.80692375387081117</v>
      </c>
      <c r="CX17" s="64">
        <f t="shared" si="48"/>
        <v>0.81615698340874809</v>
      </c>
      <c r="CY17" s="65">
        <f t="shared" si="49"/>
        <v>0.80268111256816832</v>
      </c>
      <c r="CZ17" s="64">
        <f t="shared" si="50"/>
        <v>0.82087031674208144</v>
      </c>
      <c r="DA17" s="65">
        <f t="shared" si="51"/>
        <v>0.793918575060922</v>
      </c>
      <c r="DB17" s="64">
        <f t="shared" si="52"/>
        <v>0.82558365007541479</v>
      </c>
      <c r="DC17" s="65">
        <f t="shared" si="53"/>
        <v>0.78515603755367569</v>
      </c>
      <c r="DD17" s="64">
        <f t="shared" si="54"/>
        <v>0.83029698340874813</v>
      </c>
      <c r="DE17" s="65">
        <f t="shared" si="55"/>
        <v>0.77639350004642926</v>
      </c>
      <c r="DF17" s="64">
        <f t="shared" si="56"/>
        <v>0.83501031674208148</v>
      </c>
      <c r="DG17" s="65">
        <f t="shared" si="57"/>
        <v>0.76763096253918295</v>
      </c>
      <c r="DL17">
        <v>2027</v>
      </c>
      <c r="DM17" s="64">
        <f t="shared" si="58"/>
        <v>0.76763096253918295</v>
      </c>
      <c r="DN17" s="64">
        <f t="shared" si="59"/>
        <v>0.77639350004642926</v>
      </c>
      <c r="DO17" s="64">
        <f t="shared" si="60"/>
        <v>0.78515603755367569</v>
      </c>
      <c r="DP17" s="64">
        <f t="shared" si="61"/>
        <v>0.793918575060922</v>
      </c>
      <c r="DQ17" s="64">
        <f t="shared" si="62"/>
        <v>0.80268111256816832</v>
      </c>
      <c r="DR17" s="64">
        <f t="shared" si="63"/>
        <v>0.80692375387081117</v>
      </c>
      <c r="DS17" s="64">
        <f t="shared" si="24"/>
        <v>0.81116639517345401</v>
      </c>
      <c r="DT17" s="64">
        <f t="shared" si="25"/>
        <v>0.8461005128205128</v>
      </c>
      <c r="DU17" s="64">
        <f t="shared" si="26"/>
        <v>0.90332679019277562</v>
      </c>
      <c r="DV17" s="64">
        <f t="shared" si="27"/>
        <v>0.92768202133632793</v>
      </c>
      <c r="DW17" s="64">
        <f t="shared" si="28"/>
        <v>0.93943384615384617</v>
      </c>
      <c r="DX17" s="64">
        <f t="shared" si="29"/>
        <v>0.93943384615384617</v>
      </c>
      <c r="DY17" s="64">
        <f t="shared" si="30"/>
        <v>0.94203000000000003</v>
      </c>
      <c r="DZ17" s="64">
        <f t="shared" si="31"/>
        <v>0.94328000000000001</v>
      </c>
      <c r="EA17" s="3">
        <f t="shared" si="64"/>
        <v>0.95</v>
      </c>
      <c r="EB17">
        <v>2027</v>
      </c>
      <c r="EC17" s="269">
        <f t="shared" si="65"/>
        <v>0.76763096253918306</v>
      </c>
      <c r="ED17" s="269">
        <f t="shared" si="66"/>
        <v>0.05</v>
      </c>
      <c r="EE17" s="64">
        <f t="shared" si="32"/>
        <v>8.7625375072463152E-3</v>
      </c>
      <c r="EF17" s="64">
        <f t="shared" si="32"/>
        <v>8.7625375072464262E-3</v>
      </c>
      <c r="EG17" s="64">
        <f t="shared" si="32"/>
        <v>8.7625375072463152E-3</v>
      </c>
      <c r="EH17" s="64">
        <f t="shared" si="32"/>
        <v>8.7625375072463152E-3</v>
      </c>
      <c r="EI17" s="64">
        <f t="shared" si="32"/>
        <v>4.2426413026428467E-3</v>
      </c>
      <c r="EJ17" s="64">
        <f t="shared" si="32"/>
        <v>4.2426413026428467E-3</v>
      </c>
      <c r="EK17" s="64">
        <f t="shared" si="32"/>
        <v>3.4934117647058782E-2</v>
      </c>
      <c r="EL17" s="64">
        <f t="shared" si="32"/>
        <v>5.7226277372262824E-2</v>
      </c>
      <c r="EM17" s="64">
        <f t="shared" si="32"/>
        <v>2.4355231143552314E-2</v>
      </c>
      <c r="EN17" s="64">
        <f t="shared" si="32"/>
        <v>1.1751824817518242E-2</v>
      </c>
      <c r="EO17" s="64">
        <f t="shared" si="32"/>
        <v>0</v>
      </c>
      <c r="EP17" s="64">
        <f t="shared" si="32"/>
        <v>2.5961538461538591E-3</v>
      </c>
      <c r="EQ17" s="64">
        <f t="shared" si="32"/>
        <v>1.2499999999999734E-3</v>
      </c>
      <c r="ER17" s="64">
        <f t="shared" si="32"/>
        <v>6.7199999999999482E-3</v>
      </c>
      <c r="EX17" s="89">
        <v>2027</v>
      </c>
      <c r="EY17" s="278">
        <f t="shared" si="67"/>
        <v>0.99666666666666659</v>
      </c>
      <c r="EZ17" s="278"/>
      <c r="FA17" s="278">
        <f t="shared" si="68"/>
        <v>0.80578707412434469</v>
      </c>
      <c r="FB17" s="278">
        <f t="shared" si="33"/>
        <v>0.05</v>
      </c>
      <c r="FC17" s="64">
        <f t="shared" si="69"/>
        <v>7.0523724065700483E-2</v>
      </c>
      <c r="FD17" s="64">
        <f t="shared" si="70"/>
        <v>1.1607738562091494E-2</v>
      </c>
      <c r="FE17" s="64">
        <f t="shared" si="71"/>
        <v>5.9896836982968417E-2</v>
      </c>
      <c r="FF17" s="64">
        <f t="shared" si="72"/>
        <v>2.5491808596918089E-2</v>
      </c>
      <c r="FG17" s="64">
        <f t="shared" si="73"/>
        <v>1.2300243309002425E-2</v>
      </c>
      <c r="FH17" s="64">
        <f t="shared" si="74"/>
        <v>0</v>
      </c>
      <c r="FI17" s="64">
        <f t="shared" si="75"/>
        <v>2.7173076923077059E-3</v>
      </c>
      <c r="FJ17" s="64">
        <f t="shared" si="76"/>
        <v>1.3083333333333055E-3</v>
      </c>
      <c r="FK17" s="280">
        <f t="shared" si="77"/>
        <v>7.0335999999999455E-3</v>
      </c>
      <c r="FL17" s="64"/>
      <c r="FM17" s="89">
        <v>2027</v>
      </c>
      <c r="FN17" s="278">
        <f t="shared" si="78"/>
        <v>0.99666666666666659</v>
      </c>
      <c r="FP17" s="278">
        <f t="shared" si="79"/>
        <v>0.81495853004859597</v>
      </c>
      <c r="FQ17" s="278">
        <f t="shared" si="80"/>
        <v>0.05</v>
      </c>
      <c r="FR17" s="64">
        <f t="shared" si="81"/>
        <v>5.641897925256039E-2</v>
      </c>
      <c r="FS17" s="64">
        <f t="shared" si="82"/>
        <v>1.6541027450980381E-2</v>
      </c>
      <c r="FT17" s="64">
        <f t="shared" si="83"/>
        <v>5.9896836982968417E-2</v>
      </c>
      <c r="FU17" s="64">
        <f t="shared" si="84"/>
        <v>2.5491808596918089E-2</v>
      </c>
      <c r="FV17" s="64">
        <f t="shared" si="85"/>
        <v>1.2300243309002425E-2</v>
      </c>
      <c r="FW17" s="64">
        <f t="shared" si="86"/>
        <v>0</v>
      </c>
      <c r="FX17" s="64">
        <f t="shared" si="87"/>
        <v>2.7173076923077059E-3</v>
      </c>
      <c r="FY17" s="64">
        <f t="shared" si="88"/>
        <v>1.3083333333333055E-3</v>
      </c>
      <c r="FZ17" s="280">
        <f t="shared" si="89"/>
        <v>7.0335999999999455E-3</v>
      </c>
      <c r="GA17" s="64"/>
      <c r="GB17" s="89">
        <v>2027</v>
      </c>
      <c r="GC17" s="278">
        <f t="shared" si="90"/>
        <v>0.99666666666666659</v>
      </c>
      <c r="GE17" s="278">
        <f t="shared" si="91"/>
        <v>0.82412998597284715</v>
      </c>
      <c r="GF17" s="278">
        <f t="shared" si="92"/>
        <v>0.05</v>
      </c>
      <c r="GG17" s="64">
        <f t="shared" si="93"/>
        <v>4.2314234439420284E-2</v>
      </c>
      <c r="GH17" s="64">
        <f t="shared" si="94"/>
        <v>2.1474316339869268E-2</v>
      </c>
      <c r="GI17" s="64">
        <f t="shared" si="95"/>
        <v>5.9896836982968417E-2</v>
      </c>
      <c r="GJ17" s="64">
        <f t="shared" si="96"/>
        <v>2.5491808596918089E-2</v>
      </c>
      <c r="GK17" s="64">
        <f t="shared" si="97"/>
        <v>1.2300243309002425E-2</v>
      </c>
      <c r="GL17" s="64">
        <f t="shared" si="98"/>
        <v>0</v>
      </c>
      <c r="GM17" s="64">
        <f t="shared" si="99"/>
        <v>2.7173076923077059E-3</v>
      </c>
      <c r="GN17" s="64">
        <f t="shared" si="100"/>
        <v>1.3083333333333055E-3</v>
      </c>
      <c r="GO17" s="280">
        <f t="shared" si="101"/>
        <v>7.0335999999999455E-3</v>
      </c>
      <c r="GP17" s="64"/>
      <c r="GQ17" s="89">
        <v>2027</v>
      </c>
      <c r="GR17" s="278">
        <f t="shared" si="102"/>
        <v>0.99666666666666659</v>
      </c>
      <c r="GT17" s="278">
        <f t="shared" si="103"/>
        <v>0.83330144189709832</v>
      </c>
      <c r="GU17" s="278">
        <f t="shared" si="104"/>
        <v>0.05</v>
      </c>
      <c r="GV17" s="64">
        <f t="shared" si="105"/>
        <v>2.8209489626280199E-2</v>
      </c>
      <c r="GW17" s="64">
        <f t="shared" si="106"/>
        <v>2.6407605228758159E-2</v>
      </c>
      <c r="GX17" s="64">
        <f t="shared" si="107"/>
        <v>5.9896836982968417E-2</v>
      </c>
      <c r="GY17" s="64">
        <f t="shared" si="108"/>
        <v>2.5491808596918089E-2</v>
      </c>
      <c r="GZ17" s="64">
        <f t="shared" si="109"/>
        <v>1.2300243309002425E-2</v>
      </c>
      <c r="HA17" s="64">
        <f t="shared" si="110"/>
        <v>0</v>
      </c>
      <c r="HB17" s="64">
        <f t="shared" si="111"/>
        <v>2.7173076923077059E-3</v>
      </c>
      <c r="HC17" s="64">
        <f t="shared" si="112"/>
        <v>1.3083333333333055E-3</v>
      </c>
      <c r="HD17" s="280">
        <f t="shared" si="113"/>
        <v>7.0335999999999455E-3</v>
      </c>
      <c r="HE17" s="64"/>
      <c r="HF17" s="89">
        <v>2027</v>
      </c>
      <c r="HG17" s="278">
        <f t="shared" si="114"/>
        <v>0.99666666666666659</v>
      </c>
      <c r="HI17" s="278">
        <f t="shared" si="115"/>
        <v>0.8424728978213496</v>
      </c>
      <c r="HJ17" s="278">
        <f t="shared" si="116"/>
        <v>0.05</v>
      </c>
      <c r="HK17" s="64">
        <f t="shared" si="117"/>
        <v>1.4104744813140096E-2</v>
      </c>
      <c r="HL17" s="64">
        <f t="shared" si="118"/>
        <v>3.1340894117647046E-2</v>
      </c>
      <c r="HM17" s="64">
        <f t="shared" si="119"/>
        <v>5.9896836982968417E-2</v>
      </c>
      <c r="HN17" s="64">
        <f t="shared" si="120"/>
        <v>2.5491808596918089E-2</v>
      </c>
      <c r="HO17" s="64">
        <f t="shared" si="121"/>
        <v>1.2300243309002425E-2</v>
      </c>
      <c r="HP17" s="64">
        <f t="shared" si="122"/>
        <v>0</v>
      </c>
      <c r="HQ17" s="64">
        <f t="shared" si="123"/>
        <v>2.7173076923077059E-3</v>
      </c>
      <c r="HR17" s="64">
        <f t="shared" si="124"/>
        <v>1.3083333333333055E-3</v>
      </c>
      <c r="HS17" s="280">
        <f t="shared" si="125"/>
        <v>7.0335999999999455E-3</v>
      </c>
      <c r="HT17" s="64"/>
      <c r="HU17" s="89">
        <v>2027</v>
      </c>
      <c r="HV17" s="278">
        <f t="shared" si="126"/>
        <v>0.99666666666666659</v>
      </c>
      <c r="HX17" s="278">
        <f t="shared" si="127"/>
        <v>0.84691352905144901</v>
      </c>
      <c r="HY17" s="278">
        <f t="shared" si="128"/>
        <v>0.05</v>
      </c>
      <c r="HZ17" s="64">
        <f t="shared" si="129"/>
        <v>7.052372406570041E-3</v>
      </c>
      <c r="IA17" s="64">
        <f t="shared" si="130"/>
        <v>3.3952635294117628E-2</v>
      </c>
      <c r="IB17" s="64">
        <f t="shared" si="131"/>
        <v>5.9896836982968417E-2</v>
      </c>
      <c r="IC17" s="64">
        <f t="shared" si="132"/>
        <v>2.5491808596918089E-2</v>
      </c>
      <c r="ID17" s="64">
        <f t="shared" si="133"/>
        <v>1.2300243309002425E-2</v>
      </c>
      <c r="IE17" s="64">
        <f t="shared" si="134"/>
        <v>0</v>
      </c>
      <c r="IF17" s="64">
        <f t="shared" si="135"/>
        <v>2.7173076923077059E-3</v>
      </c>
      <c r="IG17" s="64">
        <f t="shared" si="136"/>
        <v>1.3083333333333055E-3</v>
      </c>
      <c r="IH17" s="280">
        <f t="shared" si="137"/>
        <v>7.0335999999999455E-3</v>
      </c>
      <c r="II17" s="64"/>
      <c r="IJ17" s="89">
        <v>2027</v>
      </c>
      <c r="IK17" s="278">
        <f t="shared" si="138"/>
        <v>0.99666666666666659</v>
      </c>
      <c r="IM17" s="278">
        <f t="shared" si="139"/>
        <v>0.85135416028154842</v>
      </c>
      <c r="IN17" s="278">
        <f t="shared" si="140"/>
        <v>0.05</v>
      </c>
      <c r="IO17" s="64">
        <v>0</v>
      </c>
      <c r="IP17" s="64">
        <f t="shared" si="141"/>
        <v>3.6564376470588217E-2</v>
      </c>
      <c r="IQ17" s="64">
        <f t="shared" si="142"/>
        <v>5.9896836982968417E-2</v>
      </c>
      <c r="IR17" s="64">
        <f t="shared" si="143"/>
        <v>2.5491808596918089E-2</v>
      </c>
      <c r="IS17" s="64">
        <f t="shared" si="144"/>
        <v>1.2300243309002425E-2</v>
      </c>
      <c r="IT17" s="64">
        <f t="shared" si="145"/>
        <v>0</v>
      </c>
      <c r="IU17" s="64">
        <f t="shared" si="146"/>
        <v>2.7173076923077059E-3</v>
      </c>
      <c r="IV17" s="64">
        <f t="shared" si="147"/>
        <v>1.3083333333333055E-3</v>
      </c>
      <c r="IW17" s="280">
        <f t="shared" si="148"/>
        <v>7.0335999999999455E-3</v>
      </c>
      <c r="IX17" s="64"/>
      <c r="IY17" s="3">
        <f t="shared" si="149"/>
        <v>0.59999999999999964</v>
      </c>
      <c r="IZ17">
        <f t="shared" si="34"/>
        <v>2027</v>
      </c>
      <c r="JA17" s="3">
        <f t="shared" si="150"/>
        <v>7.2194153308195066</v>
      </c>
      <c r="JB17" s="353">
        <f>HLOOKUP('1 StrategyMix for CarbonTargets'!$V$46,'Stress calculations'!JI$8:JU$39,10,FALSE)</f>
        <v>7.4915188391346845</v>
      </c>
      <c r="JC17" s="3">
        <f t="shared" si="151"/>
        <v>7.7866666666666671</v>
      </c>
      <c r="JD17" s="353">
        <f t="shared" si="152"/>
        <v>8.196491228070176</v>
      </c>
      <c r="JE17" s="418">
        <f t="shared" si="35"/>
        <v>0.59999999999999964</v>
      </c>
      <c r="JF17" s="368">
        <f t="shared" si="153"/>
        <v>6.1999999999999984</v>
      </c>
      <c r="JG17" s="369">
        <f t="shared" si="154"/>
        <v>6.5263157894736832</v>
      </c>
      <c r="JH17" s="363">
        <f t="shared" si="155"/>
        <v>7.0911089920355339</v>
      </c>
      <c r="JI17" s="362">
        <f t="shared" si="36"/>
        <v>7.4643252547742467</v>
      </c>
      <c r="JJ17" s="366">
        <f t="shared" si="37"/>
        <v>7.1169428971779496</v>
      </c>
      <c r="JK17" s="367">
        <f t="shared" si="8"/>
        <v>7.4915188391346845</v>
      </c>
      <c r="JL17" s="363">
        <f t="shared" si="38"/>
        <v>7.1427768023203644</v>
      </c>
      <c r="JM17" s="362">
        <f t="shared" si="39"/>
        <v>7.5187124234951206</v>
      </c>
      <c r="JN17" s="366">
        <f t="shared" si="156"/>
        <v>7.1686107074627801</v>
      </c>
      <c r="JO17" s="367">
        <f t="shared" si="40"/>
        <v>7.5459060078555584</v>
      </c>
      <c r="JP17" s="363">
        <f t="shared" si="157"/>
        <v>7.1944446126051957</v>
      </c>
      <c r="JQ17" s="362">
        <f t="shared" si="41"/>
        <v>7.5730995922159963</v>
      </c>
      <c r="JR17" s="366">
        <f t="shared" si="158"/>
        <v>7.2069299717123521</v>
      </c>
      <c r="JS17" s="367">
        <f t="shared" si="42"/>
        <v>7.5862420754866866</v>
      </c>
      <c r="JT17" s="363">
        <f t="shared" si="159"/>
        <v>7.2194153308195066</v>
      </c>
      <c r="JU17" s="362">
        <f t="shared" si="43"/>
        <v>7.5993845587573761</v>
      </c>
    </row>
    <row r="18" spans="1:283" ht="25" customHeight="1">
      <c r="A18" s="690" t="s">
        <v>103</v>
      </c>
      <c r="B18" s="690"/>
      <c r="C18" s="690"/>
      <c r="D18" s="690"/>
      <c r="E18" s="690"/>
      <c r="F18" s="690"/>
      <c r="G18" s="6"/>
      <c r="H18" s="300"/>
      <c r="J18" s="301"/>
      <c r="AL18" s="3"/>
      <c r="AM18" s="72"/>
      <c r="AO18" s="89">
        <v>2028</v>
      </c>
      <c r="AP18" s="170">
        <f t="shared" si="160"/>
        <v>-7.6800000000000002E-3</v>
      </c>
      <c r="AQ18" s="170">
        <f t="shared" si="160"/>
        <v>-1.5000000000000002E-3</v>
      </c>
      <c r="AR18" s="170">
        <f t="shared" si="160"/>
        <v>-3.4615384615384612E-3</v>
      </c>
      <c r="AS18" s="170">
        <f t="shared" si="160"/>
        <v>0</v>
      </c>
      <c r="AU18" s="170">
        <f t="shared" si="161"/>
        <v>-1.3430656934306574E-2</v>
      </c>
      <c r="AV18" s="170">
        <f t="shared" si="162"/>
        <v>-2.7834549878345497E-2</v>
      </c>
      <c r="AW18" s="170">
        <f t="shared" si="163"/>
        <v>-6.540145985401459E-2</v>
      </c>
      <c r="AY18" s="170">
        <f t="shared" si="164"/>
        <v>-3.9924705882352925E-2</v>
      </c>
      <c r="AZ18" s="278">
        <f t="shared" si="165"/>
        <v>2.9943529411764693E-3</v>
      </c>
      <c r="BA18" s="284">
        <f t="shared" si="166"/>
        <v>-2.4888662399999976E-2</v>
      </c>
      <c r="BB18" s="276">
        <f t="shared" si="167"/>
        <v>-1.2931583304347819E-2</v>
      </c>
      <c r="BC18" s="277">
        <f t="shared" si="168"/>
        <v>-8.2962207999999916E-3</v>
      </c>
      <c r="BD18" s="278">
        <f t="shared" si="169"/>
        <v>2.9943529411764693E-3</v>
      </c>
      <c r="BE18" s="284">
        <f t="shared" si="170"/>
        <v>-2.4888662400000018E-2</v>
      </c>
      <c r="BF18" s="276">
        <f t="shared" si="171"/>
        <v>-1.2931583304347819E-2</v>
      </c>
      <c r="BG18" s="277">
        <f t="shared" si="9"/>
        <v>-8.2962208000000072E-3</v>
      </c>
      <c r="BH18" s="278">
        <f t="shared" si="172"/>
        <v>5.6559999999999978E-3</v>
      </c>
      <c r="BI18" s="284">
        <f t="shared" si="173"/>
        <v>-4.9777324800000022E-2</v>
      </c>
      <c r="BJ18" s="276">
        <f t="shared" si="174"/>
        <v>-2.5863166608695677E-2</v>
      </c>
      <c r="BK18" s="277">
        <f t="shared" si="10"/>
        <v>-1.6592441600000011E-2</v>
      </c>
      <c r="BL18" s="278">
        <f t="shared" si="175"/>
        <v>5.6559999999999978E-3</v>
      </c>
      <c r="BM18" s="284">
        <f t="shared" si="176"/>
        <v>-4.9777324799999981E-2</v>
      </c>
      <c r="BN18" s="276">
        <f t="shared" si="177"/>
        <v>-2.5863166608695625E-2</v>
      </c>
      <c r="BO18" s="277">
        <f t="shared" si="11"/>
        <v>-1.659244159999999E-2</v>
      </c>
      <c r="BP18" s="278">
        <f t="shared" si="178"/>
        <v>5.6559999999999978E-3</v>
      </c>
      <c r="BQ18" s="284">
        <f t="shared" si="179"/>
        <v>-4.9777324800000036E-2</v>
      </c>
      <c r="BR18" s="276">
        <f t="shared" si="180"/>
        <v>-2.5863166608695663E-2</v>
      </c>
      <c r="BS18" s="277">
        <f t="shared" si="12"/>
        <v>-1.6592441600000011E-2</v>
      </c>
      <c r="BT18" s="278">
        <f t="shared" si="181"/>
        <v>5.6559999999999978E-3</v>
      </c>
      <c r="BU18" s="284">
        <f t="shared" si="182"/>
        <v>-4.9777324799999981E-2</v>
      </c>
      <c r="BV18" s="276">
        <f t="shared" si="183"/>
        <v>-2.5863166608695646E-2</v>
      </c>
      <c r="BW18" s="278">
        <f t="shared" si="13"/>
        <v>-1.6592441599999994E-2</v>
      </c>
      <c r="BX18" s="391">
        <f t="shared" si="44"/>
        <v>-1.6967999999999994E-2</v>
      </c>
      <c r="BY18" s="388">
        <f t="shared" si="45"/>
        <v>-6.6369766400000016E-2</v>
      </c>
      <c r="BZ18" s="409">
        <f t="shared" si="184"/>
        <v>0.26666666666666666</v>
      </c>
      <c r="CB18" s="279">
        <f t="shared" si="14"/>
        <v>-0.15923291101055806</v>
      </c>
      <c r="CC18" s="64">
        <f t="shared" si="15"/>
        <v>-0.16453477886938159</v>
      </c>
      <c r="CD18" s="64">
        <f t="shared" si="16"/>
        <v>-0.16983664672820512</v>
      </c>
      <c r="CE18" s="64">
        <f t="shared" si="17"/>
        <v>-0.18077308832820513</v>
      </c>
      <c r="CF18" s="64">
        <f t="shared" si="18"/>
        <v>-0.19170952992820511</v>
      </c>
      <c r="CG18" s="64">
        <f t="shared" si="19"/>
        <v>-0.20264597152820513</v>
      </c>
      <c r="CH18" s="64">
        <f t="shared" si="20"/>
        <v>-0.21358241312820514</v>
      </c>
      <c r="CI18">
        <v>2028</v>
      </c>
      <c r="CJ18" s="240"/>
      <c r="CL18">
        <v>2028</v>
      </c>
      <c r="CM18" s="3">
        <f t="shared" si="46"/>
        <v>0.95</v>
      </c>
      <c r="CN18" s="64">
        <f t="shared" si="21"/>
        <v>0.94231999999999994</v>
      </c>
      <c r="CO18" s="64">
        <f t="shared" si="21"/>
        <v>0.94081999999999999</v>
      </c>
      <c r="CP18" s="64">
        <f t="shared" si="21"/>
        <v>0.93735846153846147</v>
      </c>
      <c r="CQ18" s="64">
        <f t="shared" si="21"/>
        <v>0.93735846153846147</v>
      </c>
      <c r="CR18" s="64">
        <f t="shared" si="22"/>
        <v>0.92392780460415491</v>
      </c>
      <c r="CS18" s="64">
        <f t="shared" si="22"/>
        <v>0.89609325472580936</v>
      </c>
      <c r="CT18" s="64">
        <f t="shared" si="22"/>
        <v>0.83069179487179479</v>
      </c>
      <c r="CU18" s="64">
        <f t="shared" si="23"/>
        <v>0.79076708898944181</v>
      </c>
      <c r="CV18" s="64">
        <f t="shared" si="23"/>
        <v>0.79376144193061826</v>
      </c>
      <c r="CW18" s="65">
        <f t="shared" si="47"/>
        <v>0.78546522113061823</v>
      </c>
      <c r="CX18" s="64">
        <f t="shared" si="48"/>
        <v>0.79675579487179471</v>
      </c>
      <c r="CY18" s="65">
        <f t="shared" si="49"/>
        <v>0.78016335327179465</v>
      </c>
      <c r="CZ18" s="64">
        <f t="shared" si="50"/>
        <v>0.8024117948717947</v>
      </c>
      <c r="DA18" s="65">
        <f t="shared" si="51"/>
        <v>0.76922691167179458</v>
      </c>
      <c r="DB18" s="64">
        <f t="shared" si="52"/>
        <v>0.8080677948717947</v>
      </c>
      <c r="DC18" s="65">
        <f t="shared" si="53"/>
        <v>0.75829047007179462</v>
      </c>
      <c r="DD18" s="64">
        <f t="shared" si="54"/>
        <v>0.81372379487179469</v>
      </c>
      <c r="DE18" s="65">
        <f t="shared" si="55"/>
        <v>0.74735402847179455</v>
      </c>
      <c r="DF18" s="64">
        <f t="shared" si="56"/>
        <v>0.81937979487179469</v>
      </c>
      <c r="DG18" s="65">
        <f t="shared" si="57"/>
        <v>0.73641758687179459</v>
      </c>
      <c r="DL18">
        <v>2028</v>
      </c>
      <c r="DM18" s="64">
        <f t="shared" si="58"/>
        <v>0.73641758687179459</v>
      </c>
      <c r="DN18" s="64">
        <f t="shared" si="59"/>
        <v>0.74735402847179455</v>
      </c>
      <c r="DO18" s="64">
        <f t="shared" si="60"/>
        <v>0.75829047007179462</v>
      </c>
      <c r="DP18" s="64">
        <f t="shared" si="61"/>
        <v>0.76922691167179458</v>
      </c>
      <c r="DQ18" s="64">
        <f t="shared" si="62"/>
        <v>0.78016335327179465</v>
      </c>
      <c r="DR18" s="64">
        <f t="shared" si="63"/>
        <v>0.78546522113061823</v>
      </c>
      <c r="DS18" s="64">
        <f t="shared" si="24"/>
        <v>0.79076708898944181</v>
      </c>
      <c r="DT18" s="64">
        <f t="shared" si="25"/>
        <v>0.83069179487179479</v>
      </c>
      <c r="DU18" s="64">
        <f t="shared" si="26"/>
        <v>0.89609325472580936</v>
      </c>
      <c r="DV18" s="64">
        <f t="shared" si="27"/>
        <v>0.92392780460415491</v>
      </c>
      <c r="DW18" s="64">
        <f t="shared" si="28"/>
        <v>0.93735846153846147</v>
      </c>
      <c r="DX18" s="64">
        <f t="shared" si="29"/>
        <v>0.93735846153846147</v>
      </c>
      <c r="DY18" s="64">
        <f t="shared" si="30"/>
        <v>0.94081999999999999</v>
      </c>
      <c r="DZ18" s="64">
        <f t="shared" si="31"/>
        <v>0.94231999999999994</v>
      </c>
      <c r="EA18" s="3">
        <f t="shared" si="64"/>
        <v>0.95</v>
      </c>
      <c r="EB18">
        <v>2028</v>
      </c>
      <c r="EC18" s="269">
        <f t="shared" si="65"/>
        <v>0.73641758687179459</v>
      </c>
      <c r="ED18" s="269">
        <f t="shared" si="66"/>
        <v>0.05</v>
      </c>
      <c r="EE18" s="64">
        <f t="shared" si="32"/>
        <v>1.0936441599999958E-2</v>
      </c>
      <c r="EF18" s="64">
        <f t="shared" si="32"/>
        <v>1.0936441600000069E-2</v>
      </c>
      <c r="EG18" s="64">
        <f t="shared" si="32"/>
        <v>1.0936441599999958E-2</v>
      </c>
      <c r="EH18" s="64">
        <f t="shared" si="32"/>
        <v>1.0936441600000069E-2</v>
      </c>
      <c r="EI18" s="64">
        <f t="shared" si="32"/>
        <v>5.3018678588235835E-3</v>
      </c>
      <c r="EJ18" s="64">
        <f t="shared" si="32"/>
        <v>5.3018678588235835E-3</v>
      </c>
      <c r="EK18" s="64">
        <f t="shared" si="32"/>
        <v>3.9924705882352973E-2</v>
      </c>
      <c r="EL18" s="64">
        <f t="shared" si="32"/>
        <v>6.5401459854014576E-2</v>
      </c>
      <c r="EM18" s="64">
        <f t="shared" si="32"/>
        <v>2.7834549878345549E-2</v>
      </c>
      <c r="EN18" s="64">
        <f t="shared" si="32"/>
        <v>1.3430656934306562E-2</v>
      </c>
      <c r="EO18" s="64">
        <f t="shared" si="32"/>
        <v>0</v>
      </c>
      <c r="EP18" s="64">
        <f t="shared" si="32"/>
        <v>3.4615384615385159E-3</v>
      </c>
      <c r="EQ18" s="64">
        <f t="shared" si="32"/>
        <v>1.4999999999999458E-3</v>
      </c>
      <c r="ER18" s="64">
        <f t="shared" si="32"/>
        <v>7.6800000000000201E-3</v>
      </c>
      <c r="EX18" s="89">
        <v>2028</v>
      </c>
      <c r="EY18" s="278">
        <f t="shared" si="67"/>
        <v>1.0033333333333332</v>
      </c>
      <c r="EZ18" s="278"/>
      <c r="FA18" s="278">
        <f t="shared" si="68"/>
        <v>0.77835985817162379</v>
      </c>
      <c r="FB18" s="278">
        <f t="shared" si="33"/>
        <v>0.05</v>
      </c>
      <c r="FC18" s="64">
        <f t="shared" si="69"/>
        <v>8.7386859093333311E-2</v>
      </c>
      <c r="FD18" s="64">
        <f t="shared" si="70"/>
        <v>1.1915306666666658E-2</v>
      </c>
      <c r="FE18" s="64">
        <f t="shared" si="71"/>
        <v>6.8889537712895327E-2</v>
      </c>
      <c r="FF18" s="64">
        <f t="shared" si="72"/>
        <v>2.9319059205190637E-2</v>
      </c>
      <c r="FG18" s="64">
        <f t="shared" si="73"/>
        <v>1.4146958637469575E-2</v>
      </c>
      <c r="FH18" s="64">
        <f t="shared" si="74"/>
        <v>0</v>
      </c>
      <c r="FI18" s="64">
        <f t="shared" si="75"/>
        <v>3.6461538461539022E-3</v>
      </c>
      <c r="FJ18" s="64">
        <f t="shared" si="76"/>
        <v>1.5799999999999423E-3</v>
      </c>
      <c r="FK18" s="280">
        <f t="shared" si="77"/>
        <v>8.089600000000018E-3</v>
      </c>
      <c r="FL18" s="64"/>
      <c r="FM18" s="89">
        <v>2028</v>
      </c>
      <c r="FN18" s="278">
        <f t="shared" si="78"/>
        <v>1.0033333333333332</v>
      </c>
      <c r="FP18" s="278">
        <f t="shared" si="79"/>
        <v>0.78987957665695718</v>
      </c>
      <c r="FQ18" s="278">
        <f t="shared" si="80"/>
        <v>0.05</v>
      </c>
      <c r="FR18" s="64">
        <f t="shared" si="81"/>
        <v>6.9909487274666657E-2</v>
      </c>
      <c r="FS18" s="64">
        <f t="shared" si="82"/>
        <v>1.7872959999999986E-2</v>
      </c>
      <c r="FT18" s="64">
        <f t="shared" si="83"/>
        <v>6.8889537712895327E-2</v>
      </c>
      <c r="FU18" s="64">
        <f t="shared" si="84"/>
        <v>2.9319059205190637E-2</v>
      </c>
      <c r="FV18" s="64">
        <f t="shared" si="85"/>
        <v>1.4146958637469575E-2</v>
      </c>
      <c r="FW18" s="64">
        <f t="shared" si="86"/>
        <v>0</v>
      </c>
      <c r="FX18" s="64">
        <f t="shared" si="87"/>
        <v>3.6461538461539022E-3</v>
      </c>
      <c r="FY18" s="64">
        <f t="shared" si="88"/>
        <v>1.5799999999999423E-3</v>
      </c>
      <c r="FZ18" s="280">
        <f t="shared" si="89"/>
        <v>8.089600000000018E-3</v>
      </c>
      <c r="GA18" s="64"/>
      <c r="GB18" s="89">
        <v>2028</v>
      </c>
      <c r="GC18" s="278">
        <f t="shared" si="90"/>
        <v>1.0033333333333332</v>
      </c>
      <c r="GE18" s="278">
        <f t="shared" si="91"/>
        <v>0.80139929514229047</v>
      </c>
      <c r="GF18" s="278">
        <f t="shared" si="92"/>
        <v>0.05</v>
      </c>
      <c r="GG18" s="64">
        <f t="shared" si="93"/>
        <v>5.2432115455999996E-2</v>
      </c>
      <c r="GH18" s="64">
        <f t="shared" si="94"/>
        <v>2.3830613333333316E-2</v>
      </c>
      <c r="GI18" s="64">
        <f t="shared" si="95"/>
        <v>6.8889537712895327E-2</v>
      </c>
      <c r="GJ18" s="64">
        <f t="shared" si="96"/>
        <v>2.9319059205190637E-2</v>
      </c>
      <c r="GK18" s="64">
        <f t="shared" si="97"/>
        <v>1.4146958637469575E-2</v>
      </c>
      <c r="GL18" s="64">
        <f t="shared" si="98"/>
        <v>0</v>
      </c>
      <c r="GM18" s="64">
        <f t="shared" si="99"/>
        <v>3.6461538461539022E-3</v>
      </c>
      <c r="GN18" s="64">
        <f t="shared" si="100"/>
        <v>1.5799999999999423E-3</v>
      </c>
      <c r="GO18" s="280">
        <f t="shared" si="101"/>
        <v>8.089600000000018E-3</v>
      </c>
      <c r="GP18" s="64"/>
      <c r="GQ18" s="89">
        <v>2028</v>
      </c>
      <c r="GR18" s="278">
        <f t="shared" si="102"/>
        <v>1.0033333333333332</v>
      </c>
      <c r="GT18" s="278">
        <f t="shared" si="103"/>
        <v>0.81291901362762375</v>
      </c>
      <c r="GU18" s="278">
        <f t="shared" si="104"/>
        <v>0.05</v>
      </c>
      <c r="GV18" s="64">
        <f t="shared" si="105"/>
        <v>3.4954743637333335E-2</v>
      </c>
      <c r="GW18" s="64">
        <f t="shared" si="106"/>
        <v>2.9788266666666646E-2</v>
      </c>
      <c r="GX18" s="64">
        <f t="shared" si="107"/>
        <v>6.8889537712895327E-2</v>
      </c>
      <c r="GY18" s="64">
        <f t="shared" si="108"/>
        <v>2.9319059205190637E-2</v>
      </c>
      <c r="GZ18" s="64">
        <f t="shared" si="109"/>
        <v>1.4146958637469575E-2</v>
      </c>
      <c r="HA18" s="64">
        <f t="shared" si="110"/>
        <v>0</v>
      </c>
      <c r="HB18" s="64">
        <f t="shared" si="111"/>
        <v>3.6461538461539022E-3</v>
      </c>
      <c r="HC18" s="64">
        <f t="shared" si="112"/>
        <v>1.5799999999999423E-3</v>
      </c>
      <c r="HD18" s="280">
        <f t="shared" si="113"/>
        <v>8.089600000000018E-3</v>
      </c>
      <c r="HE18" s="64"/>
      <c r="HF18" s="89">
        <v>2028</v>
      </c>
      <c r="HG18" s="278">
        <f t="shared" si="114"/>
        <v>1.0033333333333332</v>
      </c>
      <c r="HI18" s="278">
        <f t="shared" si="115"/>
        <v>0.82443873211295715</v>
      </c>
      <c r="HJ18" s="278">
        <f t="shared" si="116"/>
        <v>0.05</v>
      </c>
      <c r="HK18" s="64">
        <f t="shared" si="117"/>
        <v>1.7477371818666661E-2</v>
      </c>
      <c r="HL18" s="64">
        <f t="shared" si="118"/>
        <v>3.5745919999999973E-2</v>
      </c>
      <c r="HM18" s="64">
        <f t="shared" si="119"/>
        <v>6.8889537712895327E-2</v>
      </c>
      <c r="HN18" s="64">
        <f t="shared" si="120"/>
        <v>2.9319059205190637E-2</v>
      </c>
      <c r="HO18" s="64">
        <f t="shared" si="121"/>
        <v>1.4146958637469575E-2</v>
      </c>
      <c r="HP18" s="64">
        <f t="shared" si="122"/>
        <v>0</v>
      </c>
      <c r="HQ18" s="64">
        <f t="shared" si="123"/>
        <v>3.6461538461539022E-3</v>
      </c>
      <c r="HR18" s="64">
        <f t="shared" si="124"/>
        <v>1.5799999999999423E-3</v>
      </c>
      <c r="HS18" s="280">
        <f t="shared" si="125"/>
        <v>8.089600000000018E-3</v>
      </c>
      <c r="HT18" s="64"/>
      <c r="HU18" s="89">
        <v>2028</v>
      </c>
      <c r="HV18" s="278">
        <f t="shared" si="126"/>
        <v>1.0033333333333332</v>
      </c>
      <c r="HX18" s="278">
        <f t="shared" si="127"/>
        <v>0.83002336625758466</v>
      </c>
      <c r="HY18" s="278">
        <f t="shared" si="128"/>
        <v>0.05</v>
      </c>
      <c r="HZ18" s="64">
        <f t="shared" si="129"/>
        <v>8.7386859093333217E-3</v>
      </c>
      <c r="IA18" s="64">
        <f t="shared" si="130"/>
        <v>3.8899971764705853E-2</v>
      </c>
      <c r="IB18" s="64">
        <f t="shared" si="131"/>
        <v>6.8889537712895327E-2</v>
      </c>
      <c r="IC18" s="64">
        <f t="shared" si="132"/>
        <v>2.9319059205190637E-2</v>
      </c>
      <c r="ID18" s="64">
        <f t="shared" si="133"/>
        <v>1.4146958637469575E-2</v>
      </c>
      <c r="IE18" s="64">
        <f t="shared" si="134"/>
        <v>0</v>
      </c>
      <c r="IF18" s="64">
        <f t="shared" si="135"/>
        <v>3.6461538461539022E-3</v>
      </c>
      <c r="IG18" s="64">
        <f t="shared" si="136"/>
        <v>1.5799999999999423E-3</v>
      </c>
      <c r="IH18" s="280">
        <f t="shared" si="137"/>
        <v>8.089600000000018E-3</v>
      </c>
      <c r="II18" s="64"/>
      <c r="IJ18" s="89">
        <v>2028</v>
      </c>
      <c r="IK18" s="278">
        <f t="shared" si="138"/>
        <v>1.0033333333333332</v>
      </c>
      <c r="IM18" s="278">
        <f t="shared" si="139"/>
        <v>0.83560800040221206</v>
      </c>
      <c r="IN18" s="278">
        <f t="shared" si="140"/>
        <v>0.05</v>
      </c>
      <c r="IO18" s="64">
        <v>0</v>
      </c>
      <c r="IP18" s="64">
        <f t="shared" si="141"/>
        <v>4.2054023529411733E-2</v>
      </c>
      <c r="IQ18" s="64">
        <f t="shared" si="142"/>
        <v>6.8889537712895327E-2</v>
      </c>
      <c r="IR18" s="64">
        <f t="shared" si="143"/>
        <v>2.9319059205190637E-2</v>
      </c>
      <c r="IS18" s="64">
        <f t="shared" si="144"/>
        <v>1.4146958637469575E-2</v>
      </c>
      <c r="IT18" s="64">
        <f t="shared" si="145"/>
        <v>0</v>
      </c>
      <c r="IU18" s="64">
        <f t="shared" si="146"/>
        <v>3.6461538461539022E-3</v>
      </c>
      <c r="IV18" s="64">
        <f t="shared" si="147"/>
        <v>1.5799999999999423E-3</v>
      </c>
      <c r="IW18" s="280">
        <f t="shared" si="148"/>
        <v>8.089600000000018E-3</v>
      </c>
      <c r="IX18" s="64"/>
      <c r="IY18" s="3">
        <f t="shared" si="149"/>
        <v>0.54999999999999982</v>
      </c>
      <c r="IZ18">
        <f t="shared" si="34"/>
        <v>2028</v>
      </c>
      <c r="JA18" s="3">
        <f t="shared" si="150"/>
        <v>8.0550233312217188</v>
      </c>
      <c r="JB18" s="353">
        <f>HLOOKUP('1 StrategyMix for CarbonTargets'!$V$46,'Stress calculations'!JI$8:JU$39,11,FALSE)</f>
        <v>8.3229710250893749</v>
      </c>
      <c r="JC18" s="3">
        <f t="shared" si="151"/>
        <v>8.7900000000000009</v>
      </c>
      <c r="JD18" s="353">
        <f t="shared" si="152"/>
        <v>9.2526315789473692</v>
      </c>
      <c r="JE18" s="418">
        <f t="shared" si="35"/>
        <v>0.5499999999999996</v>
      </c>
      <c r="JF18" s="368">
        <f t="shared" si="153"/>
        <v>6.7499999999999982</v>
      </c>
      <c r="JG18" s="369">
        <f t="shared" si="154"/>
        <v>7.1052631578947354</v>
      </c>
      <c r="JH18" s="363">
        <f t="shared" si="155"/>
        <v>7.8694688502071575</v>
      </c>
      <c r="JI18" s="362">
        <f t="shared" si="36"/>
        <v>8.283651421270692</v>
      </c>
      <c r="JJ18" s="366">
        <f t="shared" si="37"/>
        <v>7.9068224738349064</v>
      </c>
      <c r="JK18" s="367">
        <f t="shared" si="8"/>
        <v>8.3229710250893749</v>
      </c>
      <c r="JL18" s="363">
        <f t="shared" si="38"/>
        <v>7.9441760974626545</v>
      </c>
      <c r="JM18" s="362">
        <f t="shared" si="39"/>
        <v>8.3622906289080579</v>
      </c>
      <c r="JN18" s="366">
        <f t="shared" si="156"/>
        <v>7.9815297210904035</v>
      </c>
      <c r="JO18" s="367">
        <f t="shared" si="40"/>
        <v>8.4016102327267408</v>
      </c>
      <c r="JP18" s="363">
        <f t="shared" si="157"/>
        <v>8.0188833447181533</v>
      </c>
      <c r="JQ18" s="362">
        <f t="shared" si="41"/>
        <v>8.4409298365454255</v>
      </c>
      <c r="JR18" s="366">
        <f t="shared" si="158"/>
        <v>8.0369533379699369</v>
      </c>
      <c r="JS18" s="367">
        <f t="shared" si="42"/>
        <v>8.4599508820736187</v>
      </c>
      <c r="JT18" s="363">
        <f t="shared" si="159"/>
        <v>8.0550233312217188</v>
      </c>
      <c r="JU18" s="362">
        <f t="shared" si="43"/>
        <v>8.4789719276018101</v>
      </c>
    </row>
    <row r="19" spans="1:283">
      <c r="A19" s="259">
        <f>'1 StrategyMix for CarbonTargets'!V19</f>
        <v>0.2</v>
      </c>
      <c r="B19" s="247"/>
      <c r="C19" s="247"/>
      <c r="D19" s="247"/>
      <c r="E19" s="293"/>
      <c r="F19" s="293"/>
      <c r="G19" s="293"/>
      <c r="H19" s="297" cm="1">
        <f t="array" ref="H19">INDEX(DaS!I9:I53,MATCH(1,(A9=DaS!A9:A53)*(A19=DaS!B9:B53),0))</f>
        <v>1.0000000000000002E-2</v>
      </c>
      <c r="I19" s="298" cm="1">
        <f t="array" ref="I19">INDEX(DaS!H9:H53,MATCH(1,(A9=DaS!A9:A53)*(A19=DaS!B9:B53),0))</f>
        <v>8.0000000000000002E-3</v>
      </c>
      <c r="J19" s="299" cm="1">
        <f t="array" ref="J19">INDEX(DaS!G9:G53,MATCH(1,(A9=DaS!A9:A53)*(A19=DaS!B9:B53),0))</f>
        <v>7.000000000000001E-3</v>
      </c>
      <c r="K19" s="5"/>
      <c r="AL19" s="3"/>
      <c r="AO19" s="89">
        <v>2029</v>
      </c>
      <c r="AP19" s="170">
        <f t="shared" si="160"/>
        <v>-8.6400000000000001E-3</v>
      </c>
      <c r="AQ19" s="170">
        <f t="shared" si="160"/>
        <v>-1.7500000000000003E-3</v>
      </c>
      <c r="AR19" s="170">
        <f t="shared" si="160"/>
        <v>-4.3269230769230763E-3</v>
      </c>
      <c r="AS19" s="170">
        <f t="shared" si="160"/>
        <v>0</v>
      </c>
      <c r="AU19" s="170">
        <f t="shared" si="161"/>
        <v>-1.5109489051094896E-2</v>
      </c>
      <c r="AV19" s="170">
        <f t="shared" si="162"/>
        <v>-3.1313868613138687E-2</v>
      </c>
      <c r="AW19" s="170">
        <f t="shared" si="163"/>
        <v>-7.3576642335766412E-2</v>
      </c>
      <c r="AY19" s="170">
        <f t="shared" si="164"/>
        <v>-4.4915294117647039E-2</v>
      </c>
      <c r="AZ19" s="278">
        <f t="shared" si="165"/>
        <v>3.4934117647058807E-3</v>
      </c>
      <c r="BA19" s="284">
        <f t="shared" si="166"/>
        <v>-2.5520757286956498E-2</v>
      </c>
      <c r="BB19" s="276">
        <f t="shared" si="167"/>
        <v>-1.508684718840579E-2</v>
      </c>
      <c r="BC19" s="277">
        <f t="shared" si="168"/>
        <v>-9.9247389449275275E-3</v>
      </c>
      <c r="BD19" s="278">
        <f t="shared" si="169"/>
        <v>3.4934117647058807E-3</v>
      </c>
      <c r="BE19" s="284">
        <f t="shared" si="170"/>
        <v>-2.552075728695654E-2</v>
      </c>
      <c r="BF19" s="276">
        <f t="shared" si="171"/>
        <v>-1.508684718840579E-2</v>
      </c>
      <c r="BG19" s="277">
        <f t="shared" si="9"/>
        <v>-9.9247389449275449E-3</v>
      </c>
      <c r="BH19" s="278">
        <f t="shared" si="172"/>
        <v>6.5986666666666641E-3</v>
      </c>
      <c r="BI19" s="284">
        <f t="shared" si="173"/>
        <v>-5.1041514573913066E-2</v>
      </c>
      <c r="BJ19" s="276">
        <f t="shared" si="174"/>
        <v>-3.0173694376811624E-2</v>
      </c>
      <c r="BK19" s="277">
        <f t="shared" si="10"/>
        <v>-1.9849477889855086E-2</v>
      </c>
      <c r="BL19" s="278">
        <f t="shared" si="175"/>
        <v>6.5986666666666641E-3</v>
      </c>
      <c r="BM19" s="284">
        <f t="shared" si="176"/>
        <v>-5.1041514573913024E-2</v>
      </c>
      <c r="BN19" s="276">
        <f t="shared" si="177"/>
        <v>-3.0173694376811562E-2</v>
      </c>
      <c r="BO19" s="277">
        <f t="shared" si="11"/>
        <v>-1.9849477889855062E-2</v>
      </c>
      <c r="BP19" s="278">
        <f t="shared" si="178"/>
        <v>6.5986666666666641E-3</v>
      </c>
      <c r="BQ19" s="284">
        <f t="shared" si="179"/>
        <v>-5.104151457391308E-2</v>
      </c>
      <c r="BR19" s="276">
        <f t="shared" si="180"/>
        <v>-3.0173694376811607E-2</v>
      </c>
      <c r="BS19" s="277">
        <f t="shared" si="12"/>
        <v>-1.9849477889855083E-2</v>
      </c>
      <c r="BT19" s="278">
        <f t="shared" si="181"/>
        <v>6.5986666666666641E-3</v>
      </c>
      <c r="BU19" s="284">
        <f t="shared" si="182"/>
        <v>-5.1041514573913024E-2</v>
      </c>
      <c r="BV19" s="276">
        <f t="shared" si="183"/>
        <v>-3.0173694376811586E-2</v>
      </c>
      <c r="BW19" s="278">
        <f t="shared" si="13"/>
        <v>-1.9849477889855062E-2</v>
      </c>
      <c r="BX19" s="391">
        <f t="shared" si="44"/>
        <v>-1.8132470588235285E-2</v>
      </c>
      <c r="BY19" s="388">
        <f t="shared" si="45"/>
        <v>-7.9397911559420303E-2</v>
      </c>
      <c r="BZ19" s="409">
        <f t="shared" si="184"/>
        <v>0.31111111111111112</v>
      </c>
      <c r="CB19" s="279">
        <f t="shared" si="14"/>
        <v>-0.17963221719457012</v>
      </c>
      <c r="CC19" s="64">
        <f t="shared" si="15"/>
        <v>-0.18606354437479178</v>
      </c>
      <c r="CD19" s="64">
        <f t="shared" si="16"/>
        <v>-0.19249487155501344</v>
      </c>
      <c r="CE19" s="64">
        <f t="shared" si="17"/>
        <v>-0.20574568277820185</v>
      </c>
      <c r="CF19" s="64">
        <f t="shared" si="18"/>
        <v>-0.21899649400139024</v>
      </c>
      <c r="CG19" s="64">
        <f t="shared" si="19"/>
        <v>-0.23224730522457865</v>
      </c>
      <c r="CH19" s="64">
        <f t="shared" si="20"/>
        <v>-0.24549811644776703</v>
      </c>
      <c r="CI19">
        <v>2029</v>
      </c>
      <c r="CJ19" s="240"/>
      <c r="CL19">
        <v>2029</v>
      </c>
      <c r="CM19" s="3">
        <f t="shared" si="46"/>
        <v>0.95</v>
      </c>
      <c r="CN19" s="64">
        <f t="shared" si="21"/>
        <v>0.94135999999999997</v>
      </c>
      <c r="CO19" s="64">
        <f t="shared" si="21"/>
        <v>0.93960999999999995</v>
      </c>
      <c r="CP19" s="64">
        <f t="shared" si="21"/>
        <v>0.93528307692307688</v>
      </c>
      <c r="CQ19" s="64">
        <f t="shared" si="21"/>
        <v>0.93528307692307688</v>
      </c>
      <c r="CR19" s="64">
        <f t="shared" si="22"/>
        <v>0.920173587871982</v>
      </c>
      <c r="CS19" s="64">
        <f t="shared" si="22"/>
        <v>0.88885971925884333</v>
      </c>
      <c r="CT19" s="64">
        <f t="shared" si="22"/>
        <v>0.81528307692307689</v>
      </c>
      <c r="CU19" s="64">
        <f t="shared" si="23"/>
        <v>0.77036778280542983</v>
      </c>
      <c r="CV19" s="64">
        <f t="shared" si="23"/>
        <v>0.77386119457013569</v>
      </c>
      <c r="CW19" s="65">
        <f t="shared" si="47"/>
        <v>0.76393645562520818</v>
      </c>
      <c r="CX19" s="64">
        <f t="shared" si="48"/>
        <v>0.77735460633484155</v>
      </c>
      <c r="CY19" s="65">
        <f t="shared" si="49"/>
        <v>0.75750512844498652</v>
      </c>
      <c r="CZ19" s="64">
        <f t="shared" si="50"/>
        <v>0.78395327300150819</v>
      </c>
      <c r="DA19" s="65">
        <f t="shared" si="51"/>
        <v>0.74425431722179802</v>
      </c>
      <c r="DB19" s="64">
        <f t="shared" si="52"/>
        <v>0.79055193966817483</v>
      </c>
      <c r="DC19" s="65">
        <f t="shared" si="53"/>
        <v>0.73100350599860964</v>
      </c>
      <c r="DD19" s="64">
        <f t="shared" si="54"/>
        <v>0.79715060633484147</v>
      </c>
      <c r="DE19" s="65">
        <f t="shared" si="55"/>
        <v>0.71775269477542114</v>
      </c>
      <c r="DF19" s="64">
        <f t="shared" si="56"/>
        <v>0.80374927300150811</v>
      </c>
      <c r="DG19" s="65">
        <f t="shared" si="57"/>
        <v>0.70450188355223275</v>
      </c>
      <c r="DL19">
        <v>2029</v>
      </c>
      <c r="DM19" s="64">
        <f t="shared" si="58"/>
        <v>0.70450188355223275</v>
      </c>
      <c r="DN19" s="64">
        <f t="shared" si="59"/>
        <v>0.71775269477542114</v>
      </c>
      <c r="DO19" s="64">
        <f t="shared" si="60"/>
        <v>0.73100350599860964</v>
      </c>
      <c r="DP19" s="64">
        <f t="shared" si="61"/>
        <v>0.74425431722179802</v>
      </c>
      <c r="DQ19" s="64">
        <f t="shared" si="62"/>
        <v>0.75750512844498652</v>
      </c>
      <c r="DR19" s="64">
        <f t="shared" si="63"/>
        <v>0.76393645562520818</v>
      </c>
      <c r="DS19" s="64">
        <f t="shared" si="24"/>
        <v>0.77036778280542983</v>
      </c>
      <c r="DT19" s="64">
        <f t="shared" si="25"/>
        <v>0.81528307692307689</v>
      </c>
      <c r="DU19" s="64">
        <f t="shared" si="26"/>
        <v>0.88885971925884333</v>
      </c>
      <c r="DV19" s="64">
        <f t="shared" si="27"/>
        <v>0.920173587871982</v>
      </c>
      <c r="DW19" s="64">
        <f t="shared" si="28"/>
        <v>0.93528307692307688</v>
      </c>
      <c r="DX19" s="64">
        <f t="shared" si="29"/>
        <v>0.93528307692307688</v>
      </c>
      <c r="DY19" s="64">
        <f t="shared" si="30"/>
        <v>0.93960999999999995</v>
      </c>
      <c r="DZ19" s="64">
        <f t="shared" si="31"/>
        <v>0.94135999999999997</v>
      </c>
      <c r="EA19" s="3">
        <f t="shared" si="64"/>
        <v>0.95</v>
      </c>
      <c r="EB19">
        <v>2029</v>
      </c>
      <c r="EC19" s="269">
        <f t="shared" si="65"/>
        <v>0.70450188355223275</v>
      </c>
      <c r="ED19" s="269">
        <f t="shared" si="66"/>
        <v>0.05</v>
      </c>
      <c r="EE19" s="64">
        <f t="shared" si="32"/>
        <v>1.3250811223188386E-2</v>
      </c>
      <c r="EF19" s="64">
        <f t="shared" si="32"/>
        <v>1.3250811223188497E-2</v>
      </c>
      <c r="EG19" s="64">
        <f t="shared" si="32"/>
        <v>1.3250811223188386E-2</v>
      </c>
      <c r="EH19" s="64">
        <f t="shared" si="32"/>
        <v>1.3250811223188497E-2</v>
      </c>
      <c r="EI19" s="64">
        <f t="shared" si="32"/>
        <v>6.4313271802216576E-3</v>
      </c>
      <c r="EJ19" s="64">
        <f t="shared" si="32"/>
        <v>6.4313271802216576E-3</v>
      </c>
      <c r="EK19" s="64">
        <f t="shared" si="32"/>
        <v>4.4915294117647053E-2</v>
      </c>
      <c r="EL19" s="64">
        <f t="shared" si="32"/>
        <v>7.357664233576644E-2</v>
      </c>
      <c r="EM19" s="64">
        <f t="shared" si="32"/>
        <v>3.1313868613138673E-2</v>
      </c>
      <c r="EN19" s="64">
        <f t="shared" si="32"/>
        <v>1.5109489051094882E-2</v>
      </c>
      <c r="EO19" s="64">
        <f t="shared" si="32"/>
        <v>0</v>
      </c>
      <c r="EP19" s="64">
        <f t="shared" si="32"/>
        <v>4.3269230769230616E-3</v>
      </c>
      <c r="EQ19" s="64">
        <f t="shared" si="32"/>
        <v>1.7500000000000293E-3</v>
      </c>
      <c r="ER19" s="64">
        <f t="shared" si="32"/>
        <v>8.639999999999981E-3</v>
      </c>
      <c r="EX19" s="89">
        <v>2029</v>
      </c>
      <c r="EY19" s="278">
        <f t="shared" si="67"/>
        <v>1.01</v>
      </c>
      <c r="EZ19" s="278"/>
      <c r="FA19" s="278">
        <f t="shared" si="68"/>
        <v>0.74977199656536708</v>
      </c>
      <c r="FB19" s="278">
        <f t="shared" si="33"/>
        <v>0.05</v>
      </c>
      <c r="FC19" s="64">
        <f t="shared" si="69"/>
        <v>0.10520223281623187</v>
      </c>
      <c r="FD19" s="64">
        <f t="shared" si="70"/>
        <v>1.2225832156862735E-2</v>
      </c>
      <c r="FE19" s="64">
        <f t="shared" si="71"/>
        <v>7.7991240875912415E-2</v>
      </c>
      <c r="FF19" s="64">
        <f t="shared" si="72"/>
        <v>3.3192700729926986E-2</v>
      </c>
      <c r="FG19" s="64">
        <f t="shared" si="73"/>
        <v>1.6016058394160572E-2</v>
      </c>
      <c r="FH19" s="64">
        <f t="shared" si="74"/>
        <v>0</v>
      </c>
      <c r="FI19" s="64">
        <f t="shared" si="75"/>
        <v>4.5865384615384449E-3</v>
      </c>
      <c r="FJ19" s="64">
        <f t="shared" si="76"/>
        <v>1.8550000000000307E-3</v>
      </c>
      <c r="FK19" s="280">
        <f t="shared" si="77"/>
        <v>9.158399999999978E-3</v>
      </c>
      <c r="FL19" s="64"/>
      <c r="FM19" s="89">
        <v>2029</v>
      </c>
      <c r="FN19" s="278">
        <f t="shared" si="78"/>
        <v>1.01</v>
      </c>
      <c r="FP19" s="278">
        <f t="shared" si="79"/>
        <v>0.76381785646194666</v>
      </c>
      <c r="FQ19" s="278">
        <f t="shared" si="80"/>
        <v>0.05</v>
      </c>
      <c r="FR19" s="64">
        <f t="shared" si="81"/>
        <v>8.416178625298551E-2</v>
      </c>
      <c r="FS19" s="64">
        <f t="shared" si="82"/>
        <v>1.9220418823529397E-2</v>
      </c>
      <c r="FT19" s="64">
        <f t="shared" si="83"/>
        <v>7.7991240875912415E-2</v>
      </c>
      <c r="FU19" s="64">
        <f t="shared" si="84"/>
        <v>3.3192700729926986E-2</v>
      </c>
      <c r="FV19" s="64">
        <f t="shared" si="85"/>
        <v>1.6016058394160572E-2</v>
      </c>
      <c r="FW19" s="64">
        <f t="shared" si="86"/>
        <v>0</v>
      </c>
      <c r="FX19" s="64">
        <f t="shared" si="87"/>
        <v>4.5865384615384449E-3</v>
      </c>
      <c r="FY19" s="64">
        <f t="shared" si="88"/>
        <v>1.8550000000000307E-3</v>
      </c>
      <c r="FZ19" s="280">
        <f t="shared" si="89"/>
        <v>9.158399999999978E-3</v>
      </c>
      <c r="GA19" s="64"/>
      <c r="GB19" s="89">
        <v>2029</v>
      </c>
      <c r="GC19" s="278">
        <f t="shared" si="90"/>
        <v>1.01</v>
      </c>
      <c r="GE19" s="278">
        <f t="shared" si="91"/>
        <v>0.77786371635852636</v>
      </c>
      <c r="GF19" s="278">
        <f t="shared" si="92"/>
        <v>0.05</v>
      </c>
      <c r="GG19" s="64">
        <f t="shared" si="93"/>
        <v>6.3121339689739125E-2</v>
      </c>
      <c r="GH19" s="64">
        <f t="shared" si="94"/>
        <v>2.621500549019606E-2</v>
      </c>
      <c r="GI19" s="64">
        <f t="shared" si="95"/>
        <v>7.7991240875912415E-2</v>
      </c>
      <c r="GJ19" s="64">
        <f t="shared" si="96"/>
        <v>3.3192700729926986E-2</v>
      </c>
      <c r="GK19" s="64">
        <f t="shared" si="97"/>
        <v>1.6016058394160572E-2</v>
      </c>
      <c r="GL19" s="64">
        <f t="shared" si="98"/>
        <v>0</v>
      </c>
      <c r="GM19" s="64">
        <f t="shared" si="99"/>
        <v>4.5865384615384449E-3</v>
      </c>
      <c r="GN19" s="64">
        <f t="shared" si="100"/>
        <v>1.8550000000000307E-3</v>
      </c>
      <c r="GO19" s="280">
        <f t="shared" si="101"/>
        <v>9.158399999999978E-3</v>
      </c>
      <c r="GP19" s="64"/>
      <c r="GQ19" s="89">
        <v>2029</v>
      </c>
      <c r="GR19" s="278">
        <f t="shared" si="102"/>
        <v>1.01</v>
      </c>
      <c r="GT19" s="278">
        <f t="shared" si="103"/>
        <v>0.79190957625510616</v>
      </c>
      <c r="GU19" s="278">
        <f t="shared" si="104"/>
        <v>0.05</v>
      </c>
      <c r="GV19" s="64">
        <f t="shared" si="105"/>
        <v>4.2080893126492762E-2</v>
      </c>
      <c r="GW19" s="64">
        <f t="shared" si="106"/>
        <v>3.320959215686272E-2</v>
      </c>
      <c r="GX19" s="64">
        <f t="shared" si="107"/>
        <v>7.7991240875912415E-2</v>
      </c>
      <c r="GY19" s="64">
        <f t="shared" si="108"/>
        <v>3.3192700729926986E-2</v>
      </c>
      <c r="GZ19" s="64">
        <f t="shared" si="109"/>
        <v>1.6016058394160572E-2</v>
      </c>
      <c r="HA19" s="64">
        <f t="shared" si="110"/>
        <v>0</v>
      </c>
      <c r="HB19" s="64">
        <f t="shared" si="111"/>
        <v>4.5865384615384449E-3</v>
      </c>
      <c r="HC19" s="64">
        <f t="shared" si="112"/>
        <v>1.8550000000000307E-3</v>
      </c>
      <c r="HD19" s="280">
        <f t="shared" si="113"/>
        <v>9.158399999999978E-3</v>
      </c>
      <c r="HE19" s="64"/>
      <c r="HF19" s="89">
        <v>2029</v>
      </c>
      <c r="HG19" s="278">
        <f t="shared" si="114"/>
        <v>1.01</v>
      </c>
      <c r="HI19" s="278">
        <f t="shared" si="115"/>
        <v>0.80595543615168586</v>
      </c>
      <c r="HJ19" s="278">
        <f t="shared" si="116"/>
        <v>0.05</v>
      </c>
      <c r="HK19" s="64">
        <f t="shared" si="117"/>
        <v>2.1040446563246374E-2</v>
      </c>
      <c r="HL19" s="64">
        <f t="shared" si="118"/>
        <v>4.0204178823529384E-2</v>
      </c>
      <c r="HM19" s="64">
        <f t="shared" si="119"/>
        <v>7.7991240875912415E-2</v>
      </c>
      <c r="HN19" s="64">
        <f t="shared" si="120"/>
        <v>3.3192700729926986E-2</v>
      </c>
      <c r="HO19" s="64">
        <f t="shared" si="121"/>
        <v>1.6016058394160572E-2</v>
      </c>
      <c r="HP19" s="64">
        <f t="shared" si="122"/>
        <v>0</v>
      </c>
      <c r="HQ19" s="64">
        <f t="shared" si="123"/>
        <v>4.5865384615384449E-3</v>
      </c>
      <c r="HR19" s="64">
        <f t="shared" si="124"/>
        <v>1.8550000000000307E-3</v>
      </c>
      <c r="HS19" s="280">
        <f t="shared" si="125"/>
        <v>9.158399999999978E-3</v>
      </c>
      <c r="HT19" s="64"/>
      <c r="HU19" s="89">
        <v>2029</v>
      </c>
      <c r="HV19" s="278">
        <f t="shared" si="126"/>
        <v>1.01</v>
      </c>
      <c r="HX19" s="278">
        <f t="shared" si="127"/>
        <v>0.81277264296272078</v>
      </c>
      <c r="HY19" s="278">
        <f t="shared" si="128"/>
        <v>0.05</v>
      </c>
      <c r="HZ19" s="64">
        <f t="shared" si="129"/>
        <v>1.0520223281623178E-2</v>
      </c>
      <c r="IA19" s="64">
        <f t="shared" si="130"/>
        <v>4.3907195294117615E-2</v>
      </c>
      <c r="IB19" s="64">
        <f t="shared" si="131"/>
        <v>7.7991240875912415E-2</v>
      </c>
      <c r="IC19" s="64">
        <f t="shared" si="132"/>
        <v>3.3192700729926986E-2</v>
      </c>
      <c r="ID19" s="64">
        <f t="shared" si="133"/>
        <v>1.6016058394160572E-2</v>
      </c>
      <c r="IE19" s="64">
        <f t="shared" si="134"/>
        <v>0</v>
      </c>
      <c r="IF19" s="64">
        <f t="shared" si="135"/>
        <v>4.5865384615384449E-3</v>
      </c>
      <c r="IG19" s="64">
        <f t="shared" si="136"/>
        <v>1.8550000000000307E-3</v>
      </c>
      <c r="IH19" s="280">
        <f t="shared" si="137"/>
        <v>9.158399999999978E-3</v>
      </c>
      <c r="II19" s="64"/>
      <c r="IJ19" s="89">
        <v>2029</v>
      </c>
      <c r="IK19" s="278">
        <f t="shared" si="138"/>
        <v>1.01</v>
      </c>
      <c r="IM19" s="278">
        <f t="shared" si="139"/>
        <v>0.81958984977375571</v>
      </c>
      <c r="IN19" s="278">
        <f t="shared" si="140"/>
        <v>0.05</v>
      </c>
      <c r="IO19" s="64">
        <v>0</v>
      </c>
      <c r="IP19" s="64">
        <f t="shared" si="141"/>
        <v>4.7610211764705854E-2</v>
      </c>
      <c r="IQ19" s="64">
        <f t="shared" si="142"/>
        <v>7.7991240875912415E-2</v>
      </c>
      <c r="IR19" s="64">
        <f t="shared" si="143"/>
        <v>3.3192700729926986E-2</v>
      </c>
      <c r="IS19" s="64">
        <f t="shared" si="144"/>
        <v>1.6016058394160572E-2</v>
      </c>
      <c r="IT19" s="64">
        <f t="shared" si="145"/>
        <v>0</v>
      </c>
      <c r="IU19" s="64">
        <f t="shared" si="146"/>
        <v>4.5865384615384449E-3</v>
      </c>
      <c r="IV19" s="64">
        <f t="shared" si="147"/>
        <v>1.8550000000000307E-3</v>
      </c>
      <c r="IW19" s="280">
        <f t="shared" si="148"/>
        <v>9.158399999999978E-3</v>
      </c>
      <c r="IX19" s="64"/>
      <c r="IY19" s="3">
        <f t="shared" si="149"/>
        <v>0.5</v>
      </c>
      <c r="IZ19">
        <f t="shared" si="34"/>
        <v>2029</v>
      </c>
      <c r="JA19" s="3">
        <f t="shared" si="150"/>
        <v>8.8746131809954747</v>
      </c>
      <c r="JB19" s="353">
        <f>HLOOKUP('1 StrategyMix for CarbonTargets'!$V$46,'Stress calculations'!JI$8:JU$39,12,FALSE)</f>
        <v>9.1269898213651093</v>
      </c>
      <c r="JC19" s="3">
        <f t="shared" si="151"/>
        <v>9.8000000000000007</v>
      </c>
      <c r="JD19" s="353">
        <f t="shared" si="152"/>
        <v>10.315789473684212</v>
      </c>
      <c r="JE19" s="418">
        <f t="shared" si="35"/>
        <v>0.49999999999999961</v>
      </c>
      <c r="JF19" s="368">
        <f t="shared" si="153"/>
        <v>7.2499999999999982</v>
      </c>
      <c r="JG19" s="369">
        <f t="shared" si="154"/>
        <v>7.6315789473684195</v>
      </c>
      <c r="JH19" s="363">
        <f t="shared" si="155"/>
        <v>8.6192408467725237</v>
      </c>
      <c r="JI19" s="362">
        <f t="shared" si="36"/>
        <v>9.0728851018658148</v>
      </c>
      <c r="JJ19" s="366">
        <f t="shared" si="37"/>
        <v>8.6706403302968535</v>
      </c>
      <c r="JK19" s="367">
        <f t="shared" si="8"/>
        <v>9.1269898213651093</v>
      </c>
      <c r="JL19" s="363">
        <f t="shared" si="38"/>
        <v>8.7220398138211817</v>
      </c>
      <c r="JM19" s="362">
        <f t="shared" si="39"/>
        <v>9.181094540864402</v>
      </c>
      <c r="JN19" s="366">
        <f t="shared" si="156"/>
        <v>8.7734392973455098</v>
      </c>
      <c r="JO19" s="367">
        <f t="shared" si="40"/>
        <v>9.2351992603636948</v>
      </c>
      <c r="JP19" s="363">
        <f t="shared" si="157"/>
        <v>8.8248387808698396</v>
      </c>
      <c r="JQ19" s="362">
        <f t="shared" si="41"/>
        <v>9.2893039798629893</v>
      </c>
      <c r="JR19" s="366">
        <f t="shared" si="158"/>
        <v>8.8497259809326572</v>
      </c>
      <c r="JS19" s="367">
        <f t="shared" si="42"/>
        <v>9.3155010325606931</v>
      </c>
      <c r="JT19" s="363">
        <f t="shared" si="159"/>
        <v>8.8746131809954747</v>
      </c>
      <c r="JU19" s="362">
        <f t="shared" si="43"/>
        <v>9.3416980852583951</v>
      </c>
    </row>
    <row r="20" spans="1:283">
      <c r="A20" s="247"/>
      <c r="B20" s="247"/>
      <c r="C20" s="247"/>
      <c r="D20" s="247"/>
      <c r="E20" s="247"/>
      <c r="F20" s="247"/>
      <c r="H20" s="300"/>
      <c r="J20" s="301"/>
      <c r="AO20" s="89">
        <v>2030</v>
      </c>
      <c r="AP20" s="170">
        <f t="shared" si="160"/>
        <v>-9.6000000000000009E-3</v>
      </c>
      <c r="AQ20" s="170">
        <f t="shared" si="160"/>
        <v>-2.0000000000000005E-3</v>
      </c>
      <c r="AR20" s="170">
        <f t="shared" si="160"/>
        <v>-5.1923076923076914E-3</v>
      </c>
      <c r="AS20" s="170">
        <f t="shared" si="160"/>
        <v>-3.2142857142857147E-3</v>
      </c>
      <c r="AU20" s="170">
        <f t="shared" si="161"/>
        <v>-1.6788321167883216E-2</v>
      </c>
      <c r="AV20" s="170">
        <f t="shared" si="162"/>
        <v>-3.4793187347931874E-2</v>
      </c>
      <c r="AW20" s="170">
        <f t="shared" si="163"/>
        <v>-8.1751824817518234E-2</v>
      </c>
      <c r="AY20" s="170">
        <f t="shared" si="164"/>
        <v>-4.9905882352941154E-2</v>
      </c>
      <c r="AZ20" s="278">
        <f t="shared" si="165"/>
        <v>3.9924705882352926E-3</v>
      </c>
      <c r="BA20" s="284">
        <f t="shared" si="166"/>
        <v>-2.615285217391302E-2</v>
      </c>
      <c r="BB20" s="276">
        <f t="shared" si="167"/>
        <v>-1.7242111072463758E-2</v>
      </c>
      <c r="BC20" s="277">
        <f t="shared" si="168"/>
        <v>-1.1623489855072453E-2</v>
      </c>
      <c r="BD20" s="278">
        <f t="shared" si="169"/>
        <v>3.9924705882352926E-3</v>
      </c>
      <c r="BE20" s="284">
        <f t="shared" si="170"/>
        <v>-2.6152852173913062E-2</v>
      </c>
      <c r="BF20" s="276">
        <f t="shared" si="171"/>
        <v>-1.7242111072463758E-2</v>
      </c>
      <c r="BG20" s="277">
        <f t="shared" si="9"/>
        <v>-1.1623489855072472E-2</v>
      </c>
      <c r="BH20" s="278">
        <f t="shared" si="172"/>
        <v>7.5413333333333304E-3</v>
      </c>
      <c r="BI20" s="284">
        <f t="shared" si="173"/>
        <v>-5.230570434782611E-2</v>
      </c>
      <c r="BJ20" s="276">
        <f t="shared" si="174"/>
        <v>-3.4484222144927572E-2</v>
      </c>
      <c r="BK20" s="277">
        <f t="shared" si="10"/>
        <v>-2.324697971014494E-2</v>
      </c>
      <c r="BL20" s="278">
        <f t="shared" si="175"/>
        <v>7.5413333333333304E-3</v>
      </c>
      <c r="BM20" s="284">
        <f t="shared" si="176"/>
        <v>-5.2305704347826068E-2</v>
      </c>
      <c r="BN20" s="276">
        <f t="shared" si="177"/>
        <v>-3.4484222144927502E-2</v>
      </c>
      <c r="BO20" s="277">
        <f t="shared" si="11"/>
        <v>-2.3246979710144916E-2</v>
      </c>
      <c r="BP20" s="278">
        <f t="shared" si="178"/>
        <v>7.5413333333333304E-3</v>
      </c>
      <c r="BQ20" s="284">
        <f t="shared" si="179"/>
        <v>-5.2305704347826124E-2</v>
      </c>
      <c r="BR20" s="276">
        <f t="shared" si="180"/>
        <v>-3.4484222144927551E-2</v>
      </c>
      <c r="BS20" s="277">
        <f t="shared" si="12"/>
        <v>-2.324697971014494E-2</v>
      </c>
      <c r="BT20" s="278">
        <f t="shared" si="181"/>
        <v>7.5413333333333304E-3</v>
      </c>
      <c r="BU20" s="284">
        <f t="shared" si="182"/>
        <v>-5.2305704347826068E-2</v>
      </c>
      <c r="BV20" s="276">
        <f t="shared" si="183"/>
        <v>-3.448422214492753E-2</v>
      </c>
      <c r="BW20" s="278">
        <f t="shared" si="13"/>
        <v>-2.324697971014492E-2</v>
      </c>
      <c r="BX20" s="391">
        <f t="shared" si="44"/>
        <v>-1.9296941176470579E-2</v>
      </c>
      <c r="BY20" s="388">
        <f t="shared" si="45"/>
        <v>-9.298791884057972E-2</v>
      </c>
      <c r="BZ20" s="409">
        <f t="shared" si="184"/>
        <v>0.35555555555555557</v>
      </c>
      <c r="CB20" s="279">
        <f t="shared" si="14"/>
        <v>-0.20324580909286791</v>
      </c>
      <c r="CC20" s="64">
        <f t="shared" si="15"/>
        <v>-0.21087682835970506</v>
      </c>
      <c r="CD20" s="64">
        <f t="shared" si="16"/>
        <v>-0.21850784762654224</v>
      </c>
      <c r="CE20" s="64">
        <f t="shared" si="17"/>
        <v>-0.23421349400335384</v>
      </c>
      <c r="CF20" s="64">
        <f t="shared" si="18"/>
        <v>-0.24991914038016541</v>
      </c>
      <c r="CG20" s="64">
        <f t="shared" si="19"/>
        <v>-0.26562478675697704</v>
      </c>
      <c r="CH20" s="64">
        <f t="shared" si="20"/>
        <v>-0.28133043313378864</v>
      </c>
      <c r="CI20">
        <v>2030</v>
      </c>
      <c r="CJ20" s="240"/>
      <c r="CL20">
        <v>2030</v>
      </c>
      <c r="CM20" s="3">
        <f t="shared" si="46"/>
        <v>0.95</v>
      </c>
      <c r="CN20" s="64">
        <f t="shared" si="21"/>
        <v>0.9403999999999999</v>
      </c>
      <c r="CO20" s="64">
        <f t="shared" si="21"/>
        <v>0.9383999999999999</v>
      </c>
      <c r="CP20" s="64">
        <f t="shared" si="21"/>
        <v>0.93320769230769218</v>
      </c>
      <c r="CQ20" s="64">
        <f t="shared" si="21"/>
        <v>0.92999340659340646</v>
      </c>
      <c r="CR20" s="64">
        <f t="shared" si="22"/>
        <v>0.91320508542552326</v>
      </c>
      <c r="CS20" s="64">
        <f t="shared" si="22"/>
        <v>0.87841189807759135</v>
      </c>
      <c r="CT20" s="64">
        <f t="shared" si="22"/>
        <v>0.79666007326007315</v>
      </c>
      <c r="CU20" s="64">
        <f t="shared" si="23"/>
        <v>0.74675419090713202</v>
      </c>
      <c r="CV20" s="64">
        <f t="shared" si="23"/>
        <v>0.75074666149536728</v>
      </c>
      <c r="CW20" s="65">
        <f t="shared" si="47"/>
        <v>0.73912317164029484</v>
      </c>
      <c r="CX20" s="64">
        <f t="shared" si="48"/>
        <v>0.75473913208360255</v>
      </c>
      <c r="CY20" s="65">
        <f t="shared" si="49"/>
        <v>0.73149215237345766</v>
      </c>
      <c r="CZ20" s="64">
        <f t="shared" si="50"/>
        <v>0.76228046541693584</v>
      </c>
      <c r="DA20" s="65">
        <f t="shared" si="51"/>
        <v>0.71578650599664606</v>
      </c>
      <c r="DB20" s="64">
        <f t="shared" si="52"/>
        <v>0.76982179875026913</v>
      </c>
      <c r="DC20" s="65">
        <f t="shared" si="53"/>
        <v>0.70008085961983446</v>
      </c>
      <c r="DD20" s="64">
        <f t="shared" si="54"/>
        <v>0.77736313208360242</v>
      </c>
      <c r="DE20" s="65">
        <f t="shared" si="55"/>
        <v>0.68437521324302286</v>
      </c>
      <c r="DF20" s="64">
        <f t="shared" si="56"/>
        <v>0.7849044654169357</v>
      </c>
      <c r="DG20" s="65">
        <f t="shared" si="57"/>
        <v>0.66866956686621126</v>
      </c>
      <c r="DL20">
        <v>2030</v>
      </c>
      <c r="DM20" s="64">
        <f t="shared" si="58"/>
        <v>0.66866956686621126</v>
      </c>
      <c r="DN20" s="64">
        <f t="shared" si="59"/>
        <v>0.68437521324302286</v>
      </c>
      <c r="DO20" s="64">
        <f t="shared" si="60"/>
        <v>0.70008085961983446</v>
      </c>
      <c r="DP20" s="64">
        <f t="shared" si="61"/>
        <v>0.71578650599664606</v>
      </c>
      <c r="DQ20" s="64">
        <f t="shared" si="62"/>
        <v>0.73149215237345766</v>
      </c>
      <c r="DR20" s="64">
        <f t="shared" si="63"/>
        <v>0.73912317164029484</v>
      </c>
      <c r="DS20" s="64">
        <f t="shared" si="24"/>
        <v>0.74675419090713202</v>
      </c>
      <c r="DT20" s="64">
        <f t="shared" si="25"/>
        <v>0.79666007326007315</v>
      </c>
      <c r="DU20" s="64">
        <f t="shared" si="26"/>
        <v>0.87841189807759135</v>
      </c>
      <c r="DV20" s="64">
        <f t="shared" si="27"/>
        <v>0.91320508542552326</v>
      </c>
      <c r="DW20" s="64">
        <f t="shared" si="28"/>
        <v>0.92999340659340646</v>
      </c>
      <c r="DX20" s="64">
        <f t="shared" si="29"/>
        <v>0.93320769230769218</v>
      </c>
      <c r="DY20" s="64">
        <f t="shared" si="30"/>
        <v>0.9383999999999999</v>
      </c>
      <c r="DZ20" s="64">
        <f t="shared" si="31"/>
        <v>0.9403999999999999</v>
      </c>
      <c r="EA20" s="3">
        <f t="shared" si="64"/>
        <v>0.95</v>
      </c>
      <c r="EB20">
        <v>2030</v>
      </c>
      <c r="EC20" s="269">
        <f t="shared" si="65"/>
        <v>0.66866956686621126</v>
      </c>
      <c r="ED20" s="269">
        <f t="shared" si="66"/>
        <v>0.05</v>
      </c>
      <c r="EE20" s="64">
        <f t="shared" si="32"/>
        <v>1.5705646376811599E-2</v>
      </c>
      <c r="EF20" s="64">
        <f t="shared" si="32"/>
        <v>1.5705646376811599E-2</v>
      </c>
      <c r="EG20" s="64">
        <f t="shared" si="32"/>
        <v>1.5705646376811599E-2</v>
      </c>
      <c r="EH20" s="64">
        <f t="shared" si="32"/>
        <v>1.5705646376811599E-2</v>
      </c>
      <c r="EI20" s="64">
        <f t="shared" si="32"/>
        <v>7.6310192668371801E-3</v>
      </c>
      <c r="EJ20" s="64">
        <f t="shared" si="32"/>
        <v>7.6310192668371801E-3</v>
      </c>
      <c r="EK20" s="64">
        <f t="shared" si="32"/>
        <v>4.9905882352941133E-2</v>
      </c>
      <c r="EL20" s="64">
        <f t="shared" si="32"/>
        <v>8.1751824817518193E-2</v>
      </c>
      <c r="EM20" s="64">
        <f t="shared" si="32"/>
        <v>3.4793187347931909E-2</v>
      </c>
      <c r="EN20" s="64">
        <f t="shared" si="32"/>
        <v>1.6788321167883202E-2</v>
      </c>
      <c r="EO20" s="64">
        <f t="shared" si="32"/>
        <v>3.2142857142857251E-3</v>
      </c>
      <c r="EP20" s="64">
        <f t="shared" si="32"/>
        <v>5.1923076923077183E-3</v>
      </c>
      <c r="EQ20" s="64">
        <f t="shared" si="32"/>
        <v>2.0000000000000018E-3</v>
      </c>
      <c r="ER20" s="64">
        <f t="shared" si="32"/>
        <v>9.6000000000000529E-3</v>
      </c>
      <c r="EX20" s="89">
        <v>2030</v>
      </c>
      <c r="EY20" s="278">
        <f t="shared" si="67"/>
        <v>1.0166666666666666</v>
      </c>
      <c r="EZ20" s="278"/>
      <c r="FA20" s="278">
        <f t="shared" si="68"/>
        <v>0.71658087132395876</v>
      </c>
      <c r="FB20" s="278">
        <f t="shared" si="33"/>
        <v>0.05</v>
      </c>
      <c r="FC20" s="64">
        <f t="shared" si="69"/>
        <v>0.12398389178743961</v>
      </c>
      <c r="FD20" s="64">
        <f t="shared" si="70"/>
        <v>1.2539315032679731E-2</v>
      </c>
      <c r="FE20" s="64">
        <f t="shared" si="71"/>
        <v>8.7201946472019398E-2</v>
      </c>
      <c r="FF20" s="64">
        <f t="shared" si="72"/>
        <v>3.7112733171127371E-2</v>
      </c>
      <c r="FG20" s="64">
        <f t="shared" si="73"/>
        <v>1.7907542579075415E-2</v>
      </c>
      <c r="FH20" s="64">
        <f t="shared" si="74"/>
        <v>3.4285714285714401E-3</v>
      </c>
      <c r="FI20" s="64">
        <f t="shared" si="75"/>
        <v>5.5384615384615659E-3</v>
      </c>
      <c r="FJ20" s="64">
        <f t="shared" si="76"/>
        <v>2.1333333333333352E-3</v>
      </c>
      <c r="FK20" s="280">
        <f t="shared" si="77"/>
        <v>1.0240000000000056E-2</v>
      </c>
      <c r="FL20" s="414">
        <f>FA20</f>
        <v>0.71658087132395876</v>
      </c>
      <c r="FM20" s="89">
        <v>2030</v>
      </c>
      <c r="FN20" s="278">
        <f t="shared" si="78"/>
        <v>1.0166666666666666</v>
      </c>
      <c r="FP20" s="278">
        <f t="shared" si="79"/>
        <v>0.73333356079255774</v>
      </c>
      <c r="FQ20" s="278">
        <f t="shared" si="80"/>
        <v>0.05</v>
      </c>
      <c r="FR20" s="64">
        <f t="shared" si="81"/>
        <v>9.9187113429951707E-2</v>
      </c>
      <c r="FS20" s="64">
        <f t="shared" si="82"/>
        <v>2.0583403921568617E-2</v>
      </c>
      <c r="FT20" s="64">
        <f t="shared" si="83"/>
        <v>8.7201946472019398E-2</v>
      </c>
      <c r="FU20" s="64">
        <f t="shared" si="84"/>
        <v>3.7112733171127371E-2</v>
      </c>
      <c r="FV20" s="64">
        <f t="shared" si="85"/>
        <v>1.7907542579075415E-2</v>
      </c>
      <c r="FW20" s="64">
        <f t="shared" si="86"/>
        <v>3.4285714285714401E-3</v>
      </c>
      <c r="FX20" s="64">
        <f t="shared" si="87"/>
        <v>5.5384615384615659E-3</v>
      </c>
      <c r="FY20" s="64">
        <f t="shared" si="88"/>
        <v>2.1333333333333352E-3</v>
      </c>
      <c r="FZ20" s="280">
        <f t="shared" si="89"/>
        <v>1.0240000000000056E-2</v>
      </c>
      <c r="GA20" s="414">
        <f>FP20</f>
        <v>0.73333356079255774</v>
      </c>
      <c r="GB20" s="89">
        <v>2030</v>
      </c>
      <c r="GC20" s="278">
        <f t="shared" si="90"/>
        <v>1.0166666666666666</v>
      </c>
      <c r="GE20" s="278">
        <f t="shared" si="91"/>
        <v>0.75008625026115672</v>
      </c>
      <c r="GF20" s="278">
        <f t="shared" si="92"/>
        <v>0.05</v>
      </c>
      <c r="GG20" s="64">
        <f t="shared" si="93"/>
        <v>7.4390335072463759E-2</v>
      </c>
      <c r="GH20" s="64">
        <f t="shared" si="94"/>
        <v>2.8627492810457504E-2</v>
      </c>
      <c r="GI20" s="64">
        <f t="shared" si="95"/>
        <v>8.7201946472019398E-2</v>
      </c>
      <c r="GJ20" s="64">
        <f t="shared" si="96"/>
        <v>3.7112733171127371E-2</v>
      </c>
      <c r="GK20" s="64">
        <f t="shared" si="97"/>
        <v>1.7907542579075415E-2</v>
      </c>
      <c r="GL20" s="64">
        <f t="shared" si="98"/>
        <v>3.4285714285714401E-3</v>
      </c>
      <c r="GM20" s="64">
        <f t="shared" si="99"/>
        <v>5.5384615384615659E-3</v>
      </c>
      <c r="GN20" s="64">
        <f t="shared" si="100"/>
        <v>2.1333333333333352E-3</v>
      </c>
      <c r="GO20" s="280">
        <f t="shared" si="101"/>
        <v>1.0240000000000056E-2</v>
      </c>
      <c r="GP20" s="414">
        <f>GE20</f>
        <v>0.75008625026115672</v>
      </c>
      <c r="GQ20" s="89">
        <v>2030</v>
      </c>
      <c r="GR20" s="278">
        <f t="shared" si="102"/>
        <v>1.0166666666666666</v>
      </c>
      <c r="GT20" s="278">
        <f t="shared" si="103"/>
        <v>0.7668389397297557</v>
      </c>
      <c r="GU20" s="278">
        <f t="shared" si="104"/>
        <v>0.05</v>
      </c>
      <c r="GV20" s="64">
        <f t="shared" si="105"/>
        <v>4.9593556714975853E-2</v>
      </c>
      <c r="GW20" s="64">
        <f t="shared" si="106"/>
        <v>3.6671581699346388E-2</v>
      </c>
      <c r="GX20" s="64">
        <f t="shared" si="107"/>
        <v>8.7201946472019398E-2</v>
      </c>
      <c r="GY20" s="64">
        <f t="shared" si="108"/>
        <v>3.7112733171127371E-2</v>
      </c>
      <c r="GZ20" s="64">
        <f t="shared" si="109"/>
        <v>1.7907542579075415E-2</v>
      </c>
      <c r="HA20" s="64">
        <f t="shared" si="110"/>
        <v>3.4285714285714401E-3</v>
      </c>
      <c r="HB20" s="64">
        <f t="shared" si="111"/>
        <v>5.5384615384615659E-3</v>
      </c>
      <c r="HC20" s="64">
        <f t="shared" si="112"/>
        <v>2.1333333333333352E-3</v>
      </c>
      <c r="HD20" s="280">
        <f t="shared" si="113"/>
        <v>1.0240000000000056E-2</v>
      </c>
      <c r="HE20" s="414">
        <f>GT20</f>
        <v>0.7668389397297557</v>
      </c>
      <c r="HF20" s="89">
        <v>2030</v>
      </c>
      <c r="HG20" s="278">
        <f t="shared" si="114"/>
        <v>1.0166666666666666</v>
      </c>
      <c r="HI20" s="278">
        <f t="shared" si="115"/>
        <v>0.78359162919835479</v>
      </c>
      <c r="HJ20" s="278">
        <f t="shared" si="116"/>
        <v>0.05</v>
      </c>
      <c r="HK20" s="64">
        <f t="shared" si="117"/>
        <v>2.4796778357487916E-2</v>
      </c>
      <c r="HL20" s="64">
        <f t="shared" si="118"/>
        <v>4.4715670588235272E-2</v>
      </c>
      <c r="HM20" s="64">
        <f t="shared" si="119"/>
        <v>8.7201946472019398E-2</v>
      </c>
      <c r="HN20" s="64">
        <f t="shared" si="120"/>
        <v>3.7112733171127371E-2</v>
      </c>
      <c r="HO20" s="64">
        <f t="shared" si="121"/>
        <v>1.7907542579075415E-2</v>
      </c>
      <c r="HP20" s="64">
        <f t="shared" si="122"/>
        <v>3.4285714285714401E-3</v>
      </c>
      <c r="HQ20" s="64">
        <f t="shared" si="123"/>
        <v>5.5384615384615659E-3</v>
      </c>
      <c r="HR20" s="64">
        <f t="shared" si="124"/>
        <v>2.1333333333333352E-3</v>
      </c>
      <c r="HS20" s="280">
        <f t="shared" si="125"/>
        <v>1.0240000000000056E-2</v>
      </c>
      <c r="HT20" s="414">
        <f>HI20</f>
        <v>0.78359162919835479</v>
      </c>
      <c r="HU20" s="89">
        <v>2030</v>
      </c>
      <c r="HV20" s="278">
        <f t="shared" si="126"/>
        <v>1.0166666666666666</v>
      </c>
      <c r="HX20" s="278">
        <f t="shared" si="127"/>
        <v>0.79173138308298108</v>
      </c>
      <c r="HY20" s="278">
        <f t="shared" si="128"/>
        <v>0.05</v>
      </c>
      <c r="HZ20" s="64">
        <f t="shared" si="129"/>
        <v>1.2398389178743949E-2</v>
      </c>
      <c r="IA20" s="64">
        <f t="shared" si="130"/>
        <v>4.8974305882352923E-2</v>
      </c>
      <c r="IB20" s="64">
        <f t="shared" si="131"/>
        <v>8.7201946472019398E-2</v>
      </c>
      <c r="IC20" s="64">
        <f t="shared" si="132"/>
        <v>3.7112733171127371E-2</v>
      </c>
      <c r="ID20" s="64">
        <f t="shared" si="133"/>
        <v>1.7907542579075415E-2</v>
      </c>
      <c r="IE20" s="64">
        <f t="shared" si="134"/>
        <v>3.4285714285714401E-3</v>
      </c>
      <c r="IF20" s="64">
        <f t="shared" si="135"/>
        <v>5.5384615384615659E-3</v>
      </c>
      <c r="IG20" s="64">
        <f t="shared" si="136"/>
        <v>2.1333333333333352E-3</v>
      </c>
      <c r="IH20" s="280">
        <f t="shared" si="137"/>
        <v>1.0240000000000056E-2</v>
      </c>
      <c r="II20" s="414">
        <f>HX20</f>
        <v>0.79173138308298108</v>
      </c>
      <c r="IJ20" s="89">
        <v>2030</v>
      </c>
      <c r="IK20" s="278">
        <f t="shared" si="138"/>
        <v>1.0166666666666666</v>
      </c>
      <c r="IM20" s="278">
        <f t="shared" si="139"/>
        <v>0.79987113696760748</v>
      </c>
      <c r="IN20" s="278">
        <f t="shared" si="140"/>
        <v>0.05</v>
      </c>
      <c r="IO20" s="64">
        <v>0</v>
      </c>
      <c r="IP20" s="64">
        <f t="shared" si="141"/>
        <v>5.3232941176470566E-2</v>
      </c>
      <c r="IQ20" s="64">
        <f t="shared" si="142"/>
        <v>8.7201946472019398E-2</v>
      </c>
      <c r="IR20" s="64">
        <f t="shared" si="143"/>
        <v>3.7112733171127371E-2</v>
      </c>
      <c r="IS20" s="64">
        <f t="shared" si="144"/>
        <v>1.7907542579075415E-2</v>
      </c>
      <c r="IT20" s="64">
        <f t="shared" si="145"/>
        <v>3.4285714285714401E-3</v>
      </c>
      <c r="IU20" s="64">
        <f t="shared" si="146"/>
        <v>5.5384615384615659E-3</v>
      </c>
      <c r="IV20" s="64">
        <f t="shared" si="147"/>
        <v>2.1333333333333352E-3</v>
      </c>
      <c r="IW20" s="280">
        <f t="shared" si="148"/>
        <v>1.0240000000000056E-2</v>
      </c>
      <c r="IX20" s="414">
        <f>IM20</f>
        <v>0.79987113696760748</v>
      </c>
      <c r="IY20" s="3">
        <f t="shared" si="149"/>
        <v>0.44999999999999929</v>
      </c>
      <c r="IZ20">
        <f t="shared" si="34"/>
        <v>2030</v>
      </c>
      <c r="JA20" s="3">
        <f t="shared" si="150"/>
        <v>9.6744843179630813</v>
      </c>
      <c r="JB20" s="353">
        <f>HLOOKUP('1 StrategyMix for CarbonTargets'!$V$46,'Stress calculations'!JI$8:JU$39,13,FALSE)</f>
        <v>9.8989198853572749</v>
      </c>
      <c r="JC20" s="3">
        <f t="shared" si="151"/>
        <v>10.816666666666666</v>
      </c>
      <c r="JD20" s="353">
        <f t="shared" si="152"/>
        <v>11.385964912280702</v>
      </c>
      <c r="JE20" s="418">
        <f t="shared" si="35"/>
        <v>0.44999999999999962</v>
      </c>
      <c r="JF20" s="368">
        <f t="shared" si="153"/>
        <v>7.6999999999999975</v>
      </c>
      <c r="JG20" s="369">
        <f t="shared" si="154"/>
        <v>8.1052631578947345</v>
      </c>
      <c r="JH20" s="363">
        <f t="shared" si="155"/>
        <v>9.3358217180964829</v>
      </c>
      <c r="JI20" s="362">
        <f t="shared" si="36"/>
        <v>9.8271807558910353</v>
      </c>
      <c r="JJ20" s="366">
        <f t="shared" si="37"/>
        <v>9.4039738910894108</v>
      </c>
      <c r="JK20" s="367">
        <f t="shared" si="8"/>
        <v>9.8989198853572749</v>
      </c>
      <c r="JL20" s="363">
        <f t="shared" si="38"/>
        <v>9.4721260640823388</v>
      </c>
      <c r="JM20" s="362">
        <f t="shared" si="39"/>
        <v>9.9706590148235144</v>
      </c>
      <c r="JN20" s="366">
        <f t="shared" si="156"/>
        <v>9.540278237075265</v>
      </c>
      <c r="JO20" s="367">
        <f t="shared" si="40"/>
        <v>10.042398144289754</v>
      </c>
      <c r="JP20" s="363">
        <f t="shared" si="157"/>
        <v>9.6084304100681948</v>
      </c>
      <c r="JQ20" s="362">
        <f t="shared" si="41"/>
        <v>10.114137273755995</v>
      </c>
      <c r="JR20" s="366">
        <f t="shared" si="158"/>
        <v>9.641457364015638</v>
      </c>
      <c r="JS20" s="367">
        <f t="shared" si="42"/>
        <v>10.148902488437514</v>
      </c>
      <c r="JT20" s="363">
        <f t="shared" si="159"/>
        <v>9.6744843179630813</v>
      </c>
      <c r="JU20" s="362">
        <f t="shared" si="43"/>
        <v>10.183667703119033</v>
      </c>
    </row>
    <row r="21" spans="1:283">
      <c r="A21" s="689" t="s">
        <v>104</v>
      </c>
      <c r="B21" s="689"/>
      <c r="C21" s="689"/>
      <c r="D21" s="689"/>
      <c r="E21" s="689"/>
      <c r="F21" s="689"/>
      <c r="G21" s="122"/>
      <c r="H21" s="300"/>
      <c r="J21" s="301"/>
      <c r="AO21" s="89">
        <v>2031</v>
      </c>
      <c r="AP21" s="170">
        <f t="shared" si="160"/>
        <v>-1.0560000000000002E-2</v>
      </c>
      <c r="AQ21" s="170">
        <f t="shared" si="160"/>
        <v>-2.2500000000000007E-3</v>
      </c>
      <c r="AR21" s="170">
        <f t="shared" si="160"/>
        <v>-6.0576923076923065E-3</v>
      </c>
      <c r="AS21" s="170">
        <f t="shared" si="160"/>
        <v>-6.4285714285714293E-3</v>
      </c>
      <c r="AU21" s="170">
        <f t="shared" si="161"/>
        <v>-1.8467153284671536E-2</v>
      </c>
      <c r="AV21" s="170">
        <f t="shared" si="162"/>
        <v>-3.8272506082725061E-2</v>
      </c>
      <c r="AW21" s="170">
        <f t="shared" si="163"/>
        <v>-8.9927007299270056E-2</v>
      </c>
      <c r="AY21" s="170">
        <f t="shared" si="164"/>
        <v>-5.4896470588235269E-2</v>
      </c>
      <c r="AZ21" s="278">
        <f t="shared" si="165"/>
        <v>4.4915294117647041E-3</v>
      </c>
      <c r="BA21" s="284">
        <f t="shared" si="166"/>
        <v>-2.6784947060869542E-2</v>
      </c>
      <c r="BB21" s="276">
        <f t="shared" si="167"/>
        <v>-1.9397374956521728E-2</v>
      </c>
      <c r="BC21" s="277">
        <f t="shared" si="168"/>
        <v>-1.3392473530434771E-2</v>
      </c>
      <c r="BD21" s="278">
        <f t="shared" si="169"/>
        <v>4.4915294117647041E-3</v>
      </c>
      <c r="BE21" s="284">
        <f t="shared" si="170"/>
        <v>-2.6784947060869584E-2</v>
      </c>
      <c r="BF21" s="276">
        <f t="shared" si="171"/>
        <v>-1.9397374956521728E-2</v>
      </c>
      <c r="BG21" s="277">
        <f t="shared" si="9"/>
        <v>-1.3392473530434792E-2</v>
      </c>
      <c r="BH21" s="278">
        <f t="shared" si="172"/>
        <v>8.4839999999999968E-3</v>
      </c>
      <c r="BI21" s="284">
        <f t="shared" si="173"/>
        <v>-5.3569894121739153E-2</v>
      </c>
      <c r="BJ21" s="276">
        <f t="shared" si="174"/>
        <v>-3.8794749913043519E-2</v>
      </c>
      <c r="BK21" s="277">
        <f t="shared" si="10"/>
        <v>-2.678494706086958E-2</v>
      </c>
      <c r="BL21" s="278">
        <f t="shared" si="175"/>
        <v>8.4839999999999968E-3</v>
      </c>
      <c r="BM21" s="284">
        <f t="shared" si="176"/>
        <v>-5.3569894121739112E-2</v>
      </c>
      <c r="BN21" s="276">
        <f t="shared" si="177"/>
        <v>-3.8794749913043443E-2</v>
      </c>
      <c r="BO21" s="277">
        <f t="shared" si="11"/>
        <v>-2.6784947060869559E-2</v>
      </c>
      <c r="BP21" s="278">
        <f t="shared" si="178"/>
        <v>8.4839999999999968E-3</v>
      </c>
      <c r="BQ21" s="284">
        <f t="shared" si="179"/>
        <v>-5.3569894121739167E-2</v>
      </c>
      <c r="BR21" s="276">
        <f t="shared" si="180"/>
        <v>-3.8794749913043491E-2</v>
      </c>
      <c r="BS21" s="277">
        <f t="shared" si="12"/>
        <v>-2.678494706086958E-2</v>
      </c>
      <c r="BT21" s="278">
        <f t="shared" si="181"/>
        <v>8.4839999999999968E-3</v>
      </c>
      <c r="BU21" s="284">
        <f t="shared" si="182"/>
        <v>-5.3569894121739112E-2</v>
      </c>
      <c r="BV21" s="276">
        <f t="shared" si="183"/>
        <v>-3.8794749913043471E-2</v>
      </c>
      <c r="BW21" s="278">
        <f t="shared" si="13"/>
        <v>-2.6784947060869556E-2</v>
      </c>
      <c r="BX21" s="391">
        <f t="shared" si="44"/>
        <v>-2.046141176470586E-2</v>
      </c>
      <c r="BY21" s="388">
        <f t="shared" si="45"/>
        <v>-0.10713978824347828</v>
      </c>
      <c r="BZ21" s="409">
        <f t="shared" si="184"/>
        <v>0.4</v>
      </c>
      <c r="CB21" s="279">
        <f t="shared" ref="CB21:CB40" si="185">SUM(AP21:AY21)</f>
        <v>-0.22685940099116567</v>
      </c>
      <c r="CC21" s="64">
        <f t="shared" si="15"/>
        <v>-0.23576034510983573</v>
      </c>
      <c r="CD21" s="64">
        <f t="shared" si="16"/>
        <v>-0.24466128922850583</v>
      </c>
      <c r="CE21" s="64">
        <f t="shared" si="17"/>
        <v>-0.26296223628937543</v>
      </c>
      <c r="CF21" s="64">
        <f t="shared" si="18"/>
        <v>-0.28126318335024497</v>
      </c>
      <c r="CG21" s="64">
        <f t="shared" si="19"/>
        <v>-0.29956413041111457</v>
      </c>
      <c r="CH21" s="64">
        <f t="shared" si="20"/>
        <v>-0.31786507747198411</v>
      </c>
      <c r="CI21">
        <v>2031</v>
      </c>
      <c r="CJ21" s="240"/>
      <c r="CL21">
        <v>2031</v>
      </c>
      <c r="CM21" s="3">
        <f t="shared" si="46"/>
        <v>0.95</v>
      </c>
      <c r="CN21" s="64">
        <f t="shared" si="21"/>
        <v>0.93943999999999994</v>
      </c>
      <c r="CO21" s="64">
        <f t="shared" si="21"/>
        <v>0.93718999999999997</v>
      </c>
      <c r="CP21" s="64">
        <f t="shared" si="21"/>
        <v>0.9311323076923077</v>
      </c>
      <c r="CQ21" s="64">
        <f t="shared" si="21"/>
        <v>0.92470373626373625</v>
      </c>
      <c r="CR21" s="64">
        <f t="shared" si="22"/>
        <v>0.90623658297906473</v>
      </c>
      <c r="CS21" s="64">
        <f t="shared" si="22"/>
        <v>0.8679640768963397</v>
      </c>
      <c r="CT21" s="64">
        <f t="shared" si="22"/>
        <v>0.77803706959706964</v>
      </c>
      <c r="CU21" s="64">
        <f t="shared" si="23"/>
        <v>0.72314059900883443</v>
      </c>
      <c r="CV21" s="64">
        <f t="shared" si="23"/>
        <v>0.7276321284205991</v>
      </c>
      <c r="CW21" s="65">
        <f t="shared" si="47"/>
        <v>0.71423965489016428</v>
      </c>
      <c r="CX21" s="64">
        <f t="shared" si="48"/>
        <v>0.73212365783236377</v>
      </c>
      <c r="CY21" s="65">
        <f t="shared" si="49"/>
        <v>0.70533871077149413</v>
      </c>
      <c r="CZ21" s="64">
        <f t="shared" si="50"/>
        <v>0.74060765783236382</v>
      </c>
      <c r="DA21" s="65">
        <f t="shared" si="51"/>
        <v>0.68703776371062464</v>
      </c>
      <c r="DB21" s="64">
        <f t="shared" si="52"/>
        <v>0.74909165783236387</v>
      </c>
      <c r="DC21" s="65">
        <f t="shared" si="53"/>
        <v>0.66873681664975515</v>
      </c>
      <c r="DD21" s="64">
        <f t="shared" si="54"/>
        <v>0.75757565783236391</v>
      </c>
      <c r="DE21" s="65">
        <f t="shared" si="55"/>
        <v>0.65043586958888566</v>
      </c>
      <c r="DF21" s="64">
        <f t="shared" si="56"/>
        <v>0.76605965783236396</v>
      </c>
      <c r="DG21" s="65">
        <f t="shared" si="57"/>
        <v>0.63213492252801617</v>
      </c>
      <c r="DL21">
        <v>2031</v>
      </c>
      <c r="DM21" s="64">
        <f t="shared" si="58"/>
        <v>0.63213492252801617</v>
      </c>
      <c r="DN21" s="64">
        <f t="shared" si="59"/>
        <v>0.65043586958888566</v>
      </c>
      <c r="DO21" s="64">
        <f t="shared" si="60"/>
        <v>0.66873681664975515</v>
      </c>
      <c r="DP21" s="64">
        <f t="shared" si="61"/>
        <v>0.68703776371062464</v>
      </c>
      <c r="DQ21" s="64">
        <f t="shared" si="62"/>
        <v>0.70533871077149413</v>
      </c>
      <c r="DR21" s="64">
        <f t="shared" si="63"/>
        <v>0.71423965489016428</v>
      </c>
      <c r="DS21" s="64">
        <f t="shared" si="24"/>
        <v>0.72314059900883443</v>
      </c>
      <c r="DT21" s="64">
        <f t="shared" si="25"/>
        <v>0.77803706959706964</v>
      </c>
      <c r="DU21" s="64">
        <f t="shared" si="26"/>
        <v>0.8679640768963397</v>
      </c>
      <c r="DV21" s="64">
        <f t="shared" si="27"/>
        <v>0.90623658297906473</v>
      </c>
      <c r="DW21" s="64">
        <f t="shared" si="28"/>
        <v>0.92470373626373625</v>
      </c>
      <c r="DX21" s="64">
        <f t="shared" si="29"/>
        <v>0.9311323076923077</v>
      </c>
      <c r="DY21" s="64">
        <f t="shared" si="30"/>
        <v>0.93718999999999997</v>
      </c>
      <c r="DZ21" s="64">
        <f t="shared" si="31"/>
        <v>0.93943999999999994</v>
      </c>
      <c r="EA21" s="3">
        <f t="shared" si="64"/>
        <v>0.95</v>
      </c>
      <c r="EB21">
        <v>2031</v>
      </c>
      <c r="EC21" s="269">
        <f t="shared" si="65"/>
        <v>0.63213492252801617</v>
      </c>
      <c r="ED21" s="269">
        <f t="shared" si="66"/>
        <v>0.05</v>
      </c>
      <c r="EE21" s="64">
        <f t="shared" si="32"/>
        <v>1.8300947060869488E-2</v>
      </c>
      <c r="EF21" s="64">
        <f t="shared" si="32"/>
        <v>1.8300947060869488E-2</v>
      </c>
      <c r="EG21" s="64">
        <f t="shared" si="32"/>
        <v>1.8300947060869488E-2</v>
      </c>
      <c r="EH21" s="64">
        <f t="shared" si="32"/>
        <v>1.8300947060869488E-2</v>
      </c>
      <c r="EI21" s="64">
        <f t="shared" si="32"/>
        <v>8.900944118670151E-3</v>
      </c>
      <c r="EJ21" s="64">
        <f t="shared" si="32"/>
        <v>8.900944118670151E-3</v>
      </c>
      <c r="EK21" s="64">
        <f t="shared" si="32"/>
        <v>5.4896470588235213E-2</v>
      </c>
      <c r="EL21" s="64">
        <f t="shared" si="32"/>
        <v>8.9927007299270056E-2</v>
      </c>
      <c r="EM21" s="64">
        <f t="shared" si="32"/>
        <v>3.8272506082725033E-2</v>
      </c>
      <c r="EN21" s="64">
        <f t="shared" si="32"/>
        <v>1.8467153284671523E-2</v>
      </c>
      <c r="EO21" s="64">
        <f t="shared" si="32"/>
        <v>6.4285714285714501E-3</v>
      </c>
      <c r="EP21" s="64">
        <f t="shared" si="32"/>
        <v>6.057692307692264E-3</v>
      </c>
      <c r="EQ21" s="64">
        <f t="shared" si="32"/>
        <v>2.2499999999999742E-3</v>
      </c>
      <c r="ER21" s="64">
        <f t="shared" si="32"/>
        <v>1.0560000000000014E-2</v>
      </c>
      <c r="EX21" s="89">
        <v>2031</v>
      </c>
      <c r="EY21" s="278">
        <f t="shared" si="67"/>
        <v>1.0233333333333332</v>
      </c>
      <c r="EZ21" s="278"/>
      <c r="FA21" s="278">
        <f t="shared" si="68"/>
        <v>0.68215815018007042</v>
      </c>
      <c r="FB21" s="278">
        <f t="shared" si="33"/>
        <v>0.05</v>
      </c>
      <c r="FC21" s="64">
        <f t="shared" si="69"/>
        <v>0.14374588256000004</v>
      </c>
      <c r="FD21" s="64">
        <f t="shared" si="70"/>
        <v>1.2855755294117628E-2</v>
      </c>
      <c r="FE21" s="64">
        <f t="shared" si="71"/>
        <v>9.6521654501216539E-2</v>
      </c>
      <c r="FF21" s="64">
        <f t="shared" si="72"/>
        <v>4.1079156528791544E-2</v>
      </c>
      <c r="FG21" s="64">
        <f t="shared" si="73"/>
        <v>1.9821411192214103E-2</v>
      </c>
      <c r="FH21" s="64">
        <f t="shared" si="74"/>
        <v>6.9000000000000242E-3</v>
      </c>
      <c r="FI21" s="64">
        <f t="shared" si="75"/>
        <v>6.501923076923031E-3</v>
      </c>
      <c r="FJ21" s="64">
        <f t="shared" si="76"/>
        <v>2.4149999999999727E-3</v>
      </c>
      <c r="FK21" s="280">
        <f t="shared" si="77"/>
        <v>1.1334400000000017E-2</v>
      </c>
      <c r="FL21" s="64"/>
      <c r="FM21" s="89">
        <v>2031</v>
      </c>
      <c r="FN21" s="278">
        <f t="shared" si="78"/>
        <v>1.0233333333333332</v>
      </c>
      <c r="FP21" s="278">
        <f t="shared" si="79"/>
        <v>0.70180116669207027</v>
      </c>
      <c r="FQ21" s="278">
        <f t="shared" si="80"/>
        <v>0.05</v>
      </c>
      <c r="FR21" s="64">
        <f t="shared" si="81"/>
        <v>0.11499670604800004</v>
      </c>
      <c r="FS21" s="64">
        <f t="shared" si="82"/>
        <v>2.1961915294117625E-2</v>
      </c>
      <c r="FT21" s="64">
        <f t="shared" si="83"/>
        <v>9.6521654501216539E-2</v>
      </c>
      <c r="FU21" s="64">
        <f t="shared" si="84"/>
        <v>4.1079156528791544E-2</v>
      </c>
      <c r="FV21" s="64">
        <f t="shared" si="85"/>
        <v>1.9821411192214103E-2</v>
      </c>
      <c r="FW21" s="64">
        <f t="shared" si="86"/>
        <v>6.9000000000000242E-3</v>
      </c>
      <c r="FX21" s="64">
        <f t="shared" si="87"/>
        <v>6.501923076923031E-3</v>
      </c>
      <c r="FY21" s="64">
        <f t="shared" si="88"/>
        <v>2.4149999999999727E-3</v>
      </c>
      <c r="FZ21" s="280">
        <f t="shared" si="89"/>
        <v>1.1334400000000017E-2</v>
      </c>
      <c r="GA21" s="64"/>
      <c r="GB21" s="89">
        <v>2031</v>
      </c>
      <c r="GC21" s="278">
        <f t="shared" si="90"/>
        <v>1.0233333333333332</v>
      </c>
      <c r="GE21" s="278">
        <f t="shared" si="91"/>
        <v>0.72144418320407033</v>
      </c>
      <c r="GF21" s="278">
        <f t="shared" si="92"/>
        <v>0.05</v>
      </c>
      <c r="GG21" s="64">
        <f t="shared" si="93"/>
        <v>8.6247529536000012E-2</v>
      </c>
      <c r="GH21" s="64">
        <f t="shared" si="94"/>
        <v>3.1068075294117627E-2</v>
      </c>
      <c r="GI21" s="64">
        <f t="shared" si="95"/>
        <v>9.6521654501216539E-2</v>
      </c>
      <c r="GJ21" s="64">
        <f t="shared" si="96"/>
        <v>4.1079156528791544E-2</v>
      </c>
      <c r="GK21" s="64">
        <f t="shared" si="97"/>
        <v>1.9821411192214103E-2</v>
      </c>
      <c r="GL21" s="64">
        <f t="shared" si="98"/>
        <v>6.9000000000000242E-3</v>
      </c>
      <c r="GM21" s="64">
        <f t="shared" si="99"/>
        <v>6.501923076923031E-3</v>
      </c>
      <c r="GN21" s="64">
        <f t="shared" si="100"/>
        <v>2.4149999999999727E-3</v>
      </c>
      <c r="GO21" s="280">
        <f t="shared" si="101"/>
        <v>1.1334400000000017E-2</v>
      </c>
      <c r="GP21" s="64"/>
      <c r="GQ21" s="89">
        <v>2031</v>
      </c>
      <c r="GR21" s="278">
        <f t="shared" si="102"/>
        <v>1.0233333333333332</v>
      </c>
      <c r="GT21" s="278">
        <f t="shared" si="103"/>
        <v>0.7410871997160704</v>
      </c>
      <c r="GU21" s="278">
        <f t="shared" si="104"/>
        <v>0.05</v>
      </c>
      <c r="GV21" s="64">
        <f t="shared" si="105"/>
        <v>5.7498353024000019E-2</v>
      </c>
      <c r="GW21" s="64">
        <f t="shared" si="106"/>
        <v>4.0174235294117622E-2</v>
      </c>
      <c r="GX21" s="64">
        <f t="shared" si="107"/>
        <v>9.6521654501216539E-2</v>
      </c>
      <c r="GY21" s="64">
        <f t="shared" si="108"/>
        <v>4.1079156528791544E-2</v>
      </c>
      <c r="GZ21" s="64">
        <f t="shared" si="109"/>
        <v>1.9821411192214103E-2</v>
      </c>
      <c r="HA21" s="64">
        <f t="shared" si="110"/>
        <v>6.9000000000000242E-3</v>
      </c>
      <c r="HB21" s="64">
        <f t="shared" si="111"/>
        <v>6.501923076923031E-3</v>
      </c>
      <c r="HC21" s="64">
        <f t="shared" si="112"/>
        <v>2.4149999999999727E-3</v>
      </c>
      <c r="HD21" s="280">
        <f t="shared" si="113"/>
        <v>1.1334400000000017E-2</v>
      </c>
      <c r="HE21" s="64"/>
      <c r="HF21" s="89">
        <v>2031</v>
      </c>
      <c r="HG21" s="278">
        <f t="shared" si="114"/>
        <v>1.0233333333333332</v>
      </c>
      <c r="HI21" s="278">
        <f t="shared" si="115"/>
        <v>0.76073021622807024</v>
      </c>
      <c r="HJ21" s="278">
        <f t="shared" si="116"/>
        <v>0.05</v>
      </c>
      <c r="HK21" s="64">
        <f t="shared" si="117"/>
        <v>2.8749176512000003E-2</v>
      </c>
      <c r="HL21" s="64">
        <f t="shared" si="118"/>
        <v>4.9280395294117624E-2</v>
      </c>
      <c r="HM21" s="64">
        <f t="shared" si="119"/>
        <v>9.6521654501216539E-2</v>
      </c>
      <c r="HN21" s="64">
        <f t="shared" si="120"/>
        <v>4.1079156528791544E-2</v>
      </c>
      <c r="HO21" s="64">
        <f t="shared" si="121"/>
        <v>1.9821411192214103E-2</v>
      </c>
      <c r="HP21" s="64">
        <f t="shared" si="122"/>
        <v>6.9000000000000242E-3</v>
      </c>
      <c r="HQ21" s="64">
        <f t="shared" si="123"/>
        <v>6.501923076923031E-3</v>
      </c>
      <c r="HR21" s="64">
        <f t="shared" si="124"/>
        <v>2.4149999999999727E-3</v>
      </c>
      <c r="HS21" s="280">
        <f t="shared" si="125"/>
        <v>1.1334400000000017E-2</v>
      </c>
      <c r="HT21" s="64"/>
      <c r="HU21" s="89">
        <v>2031</v>
      </c>
      <c r="HV21" s="278">
        <f t="shared" si="126"/>
        <v>1.0233333333333332</v>
      </c>
      <c r="HX21" s="278">
        <f t="shared" si="127"/>
        <v>0.77028389624877625</v>
      </c>
      <c r="HY21" s="278">
        <f t="shared" si="128"/>
        <v>0.05</v>
      </c>
      <c r="HZ21" s="64">
        <f t="shared" si="129"/>
        <v>1.4374588255999989E-2</v>
      </c>
      <c r="IA21" s="64">
        <f t="shared" si="130"/>
        <v>5.4101303529411747E-2</v>
      </c>
      <c r="IB21" s="64">
        <f t="shared" si="131"/>
        <v>9.6521654501216539E-2</v>
      </c>
      <c r="IC21" s="64">
        <f t="shared" si="132"/>
        <v>4.1079156528791544E-2</v>
      </c>
      <c r="ID21" s="64">
        <f t="shared" si="133"/>
        <v>1.9821411192214103E-2</v>
      </c>
      <c r="IE21" s="64">
        <f t="shared" si="134"/>
        <v>6.9000000000000242E-3</v>
      </c>
      <c r="IF21" s="64">
        <f t="shared" si="135"/>
        <v>6.501923076923031E-3</v>
      </c>
      <c r="IG21" s="64">
        <f t="shared" si="136"/>
        <v>2.4149999999999727E-3</v>
      </c>
      <c r="IH21" s="280">
        <f t="shared" si="137"/>
        <v>1.1334400000000017E-2</v>
      </c>
      <c r="II21" s="64"/>
      <c r="IJ21" s="89">
        <v>2031</v>
      </c>
      <c r="IK21" s="278">
        <f t="shared" si="138"/>
        <v>1.0233333333333332</v>
      </c>
      <c r="IM21" s="278">
        <f t="shared" si="139"/>
        <v>0.77983757626948214</v>
      </c>
      <c r="IN21" s="278">
        <f t="shared" si="140"/>
        <v>0.05</v>
      </c>
      <c r="IO21" s="64">
        <v>0</v>
      </c>
      <c r="IP21" s="64">
        <f t="shared" si="141"/>
        <v>5.8922211764705863E-2</v>
      </c>
      <c r="IQ21" s="64">
        <f t="shared" si="142"/>
        <v>9.6521654501216539E-2</v>
      </c>
      <c r="IR21" s="64">
        <f t="shared" si="143"/>
        <v>4.1079156528791544E-2</v>
      </c>
      <c r="IS21" s="64">
        <f t="shared" si="144"/>
        <v>1.9821411192214103E-2</v>
      </c>
      <c r="IT21" s="64">
        <f t="shared" si="145"/>
        <v>6.9000000000000242E-3</v>
      </c>
      <c r="IU21" s="64">
        <f t="shared" si="146"/>
        <v>6.501923076923031E-3</v>
      </c>
      <c r="IV21" s="64">
        <f t="shared" si="147"/>
        <v>2.4149999999999727E-3</v>
      </c>
      <c r="IW21" s="280">
        <f t="shared" si="148"/>
        <v>1.1334400000000017E-2</v>
      </c>
      <c r="IX21" s="64"/>
      <c r="IY21" s="3">
        <f t="shared" si="149"/>
        <v>0.43249999999999922</v>
      </c>
      <c r="IZ21">
        <f t="shared" si="34"/>
        <v>2031</v>
      </c>
      <c r="JA21" s="3">
        <f t="shared" si="150"/>
        <v>10.454321894232564</v>
      </c>
      <c r="JB21" s="353">
        <f>HLOOKUP('1 StrategyMix for CarbonTargets'!$V$46,'Stress calculations'!JI$8:JU$39,14,FALSE)</f>
        <v>10.637657955559453</v>
      </c>
      <c r="JC21" s="3">
        <f t="shared" si="151"/>
        <v>11.84</v>
      </c>
      <c r="JD21" s="353">
        <f t="shared" si="152"/>
        <v>12.463157894736842</v>
      </c>
      <c r="JE21" s="418">
        <f t="shared" si="35"/>
        <v>0.43249999999999966</v>
      </c>
      <c r="JF21" s="368">
        <f t="shared" si="153"/>
        <v>8.1324999999999967</v>
      </c>
      <c r="JG21" s="369">
        <f t="shared" si="154"/>
        <v>8.5605263157894704</v>
      </c>
      <c r="JH21" s="363">
        <f t="shared" si="155"/>
        <v>10.017979868276553</v>
      </c>
      <c r="JI21" s="362">
        <f t="shared" si="36"/>
        <v>10.545241966606898</v>
      </c>
      <c r="JJ21" s="366">
        <f t="shared" si="37"/>
        <v>10.10577505778148</v>
      </c>
      <c r="JK21" s="367">
        <f t="shared" si="8"/>
        <v>10.637657955559453</v>
      </c>
      <c r="JL21" s="363">
        <f t="shared" si="38"/>
        <v>10.193570247286409</v>
      </c>
      <c r="JM21" s="362">
        <f t="shared" si="39"/>
        <v>10.730073944512011</v>
      </c>
      <c r="JN21" s="366">
        <f t="shared" si="156"/>
        <v>10.281365436791335</v>
      </c>
      <c r="JO21" s="367">
        <f t="shared" si="40"/>
        <v>10.822489933464563</v>
      </c>
      <c r="JP21" s="363">
        <f t="shared" si="157"/>
        <v>10.369160626296265</v>
      </c>
      <c r="JQ21" s="362">
        <f t="shared" si="41"/>
        <v>10.914905922417121</v>
      </c>
      <c r="JR21" s="366">
        <f t="shared" si="158"/>
        <v>10.411741260264414</v>
      </c>
      <c r="JS21" s="367">
        <f t="shared" si="42"/>
        <v>10.959727642383594</v>
      </c>
      <c r="JT21" s="363">
        <f t="shared" si="159"/>
        <v>10.454321894232564</v>
      </c>
      <c r="JU21" s="362">
        <f t="shared" si="43"/>
        <v>11.004549362350067</v>
      </c>
    </row>
    <row r="22" spans="1:283">
      <c r="A22" s="259">
        <f>'1 StrategyMix for CarbonTargets'!V22</f>
        <v>0.3</v>
      </c>
      <c r="B22" s="247"/>
      <c r="C22" s="247"/>
      <c r="D22" s="247"/>
      <c r="E22" s="293"/>
      <c r="F22" s="293"/>
      <c r="G22" s="293"/>
      <c r="H22" s="297" cm="1">
        <f t="array" ref="H22">INDEX(HdF!I9:I53,MATCH(1,(A9=HdF!A9:A53)*(A22=HdF!B9:B53),0))</f>
        <v>2.7E-2</v>
      </c>
      <c r="I22" s="298" cm="1">
        <f t="array" ref="I22">INDEX(HdF!H9:H53,MATCH(1,(A9=HdF!A9:A53)*(A22=HdF!B9:B53),0))</f>
        <v>2.4E-2</v>
      </c>
      <c r="J22" s="299" cm="1">
        <f t="array" ref="J22">INDEX(HdF!G9:G53,MATCH(1,(A9=HdF!A9:A53)*(A22=HdF!B9:B53),0))</f>
        <v>2.2499999999999999E-2</v>
      </c>
      <c r="K22" s="5"/>
      <c r="AJ22" s="238"/>
      <c r="AO22" s="89">
        <v>2032</v>
      </c>
      <c r="AP22" s="170">
        <f t="shared" si="160"/>
        <v>-1.1520000000000002E-2</v>
      </c>
      <c r="AQ22" s="170">
        <f t="shared" si="160"/>
        <v>-2.5000000000000009E-3</v>
      </c>
      <c r="AR22" s="170">
        <f t="shared" si="160"/>
        <v>-6.9230769230769216E-3</v>
      </c>
      <c r="AS22" s="170">
        <f t="shared" si="160"/>
        <v>-9.642857142857144E-3</v>
      </c>
      <c r="AU22" s="170">
        <f t="shared" si="161"/>
        <v>-2.0145985401459857E-2</v>
      </c>
      <c r="AV22" s="170">
        <f t="shared" si="162"/>
        <v>-4.1751824817518247E-2</v>
      </c>
      <c r="AW22" s="170">
        <f t="shared" si="163"/>
        <v>-9.8102189781021878E-2</v>
      </c>
      <c r="AY22" s="170">
        <f t="shared" si="164"/>
        <v>-5.9887058823529384E-2</v>
      </c>
      <c r="AZ22" s="278">
        <f t="shared" si="165"/>
        <v>4.9905882352941156E-3</v>
      </c>
      <c r="BA22" s="284">
        <f t="shared" si="166"/>
        <v>-2.7417041947826064E-2</v>
      </c>
      <c r="BB22" s="276">
        <f t="shared" si="167"/>
        <v>-2.1552638840579699E-2</v>
      </c>
      <c r="BC22" s="277">
        <f t="shared" si="168"/>
        <v>-1.523168997101448E-2</v>
      </c>
      <c r="BD22" s="278">
        <f t="shared" si="169"/>
        <v>4.9905882352941156E-3</v>
      </c>
      <c r="BE22" s="284">
        <f t="shared" si="170"/>
        <v>-2.7417041947826105E-2</v>
      </c>
      <c r="BF22" s="276">
        <f t="shared" si="171"/>
        <v>-2.1552638840579699E-2</v>
      </c>
      <c r="BG22" s="277">
        <f t="shared" si="9"/>
        <v>-1.5231689971014505E-2</v>
      </c>
      <c r="BH22" s="278">
        <f t="shared" si="172"/>
        <v>9.4266666666666631E-3</v>
      </c>
      <c r="BI22" s="284">
        <f t="shared" si="173"/>
        <v>-5.4834083895652197E-2</v>
      </c>
      <c r="BJ22" s="276">
        <f t="shared" si="174"/>
        <v>-4.3105277681159467E-2</v>
      </c>
      <c r="BK22" s="277">
        <f t="shared" si="10"/>
        <v>-3.0463379942029006E-2</v>
      </c>
      <c r="BL22" s="278">
        <f t="shared" si="175"/>
        <v>9.4266666666666631E-3</v>
      </c>
      <c r="BM22" s="284">
        <f t="shared" si="176"/>
        <v>-5.4834083895652155E-2</v>
      </c>
      <c r="BN22" s="276">
        <f t="shared" si="177"/>
        <v>-4.3105277681159383E-2</v>
      </c>
      <c r="BO22" s="277">
        <f t="shared" si="11"/>
        <v>-3.0463379942028978E-2</v>
      </c>
      <c r="BP22" s="278">
        <f t="shared" si="178"/>
        <v>9.4266666666666631E-3</v>
      </c>
      <c r="BQ22" s="284">
        <f t="shared" si="179"/>
        <v>-5.4834083895652211E-2</v>
      </c>
      <c r="BR22" s="276">
        <f t="shared" si="180"/>
        <v>-4.3105277681159432E-2</v>
      </c>
      <c r="BS22" s="277">
        <f t="shared" si="12"/>
        <v>-3.0463379942028999E-2</v>
      </c>
      <c r="BT22" s="278">
        <f t="shared" si="181"/>
        <v>9.4266666666666631E-3</v>
      </c>
      <c r="BU22" s="284">
        <f t="shared" si="182"/>
        <v>-5.4834083895652155E-2</v>
      </c>
      <c r="BV22" s="276">
        <f t="shared" si="183"/>
        <v>-4.3105277681159411E-2</v>
      </c>
      <c r="BW22" s="278">
        <f t="shared" si="13"/>
        <v>-3.0463379942028974E-2</v>
      </c>
      <c r="BX22" s="391">
        <f t="shared" si="44"/>
        <v>-2.1625882352941168E-2</v>
      </c>
      <c r="BY22" s="388">
        <f t="shared" si="45"/>
        <v>-0.12185351976811597</v>
      </c>
      <c r="BZ22" s="409">
        <f t="shared" si="184"/>
        <v>0.44444444444444448</v>
      </c>
      <c r="CB22" s="279">
        <f t="shared" si="185"/>
        <v>-0.25047299288946345</v>
      </c>
      <c r="CC22" s="64">
        <f t="shared" si="15"/>
        <v>-0.2607140946251838</v>
      </c>
      <c r="CD22" s="64">
        <f t="shared" si="16"/>
        <v>-0.27095519636090415</v>
      </c>
      <c r="CE22" s="64">
        <f t="shared" si="17"/>
        <v>-0.29199190963626653</v>
      </c>
      <c r="CF22" s="64">
        <f t="shared" si="18"/>
        <v>-0.31302862291162886</v>
      </c>
      <c r="CG22" s="64">
        <f t="shared" si="19"/>
        <v>-0.33406533618699125</v>
      </c>
      <c r="CH22" s="64">
        <f t="shared" si="20"/>
        <v>-0.35510204946235358</v>
      </c>
      <c r="CI22">
        <v>2032</v>
      </c>
      <c r="CJ22" s="240"/>
      <c r="CL22">
        <v>2032</v>
      </c>
      <c r="CM22" s="3">
        <f t="shared" si="46"/>
        <v>0.95</v>
      </c>
      <c r="CN22" s="64">
        <f t="shared" si="21"/>
        <v>0.93847999999999998</v>
      </c>
      <c r="CO22" s="64">
        <f t="shared" si="21"/>
        <v>0.93598000000000003</v>
      </c>
      <c r="CP22" s="64">
        <f t="shared" si="21"/>
        <v>0.92905692307692311</v>
      </c>
      <c r="CQ22" s="64">
        <f t="shared" si="21"/>
        <v>0.91941406593406594</v>
      </c>
      <c r="CR22" s="64">
        <f t="shared" si="22"/>
        <v>0.8992680805326061</v>
      </c>
      <c r="CS22" s="64">
        <f t="shared" si="22"/>
        <v>0.85751625571508783</v>
      </c>
      <c r="CT22" s="64">
        <f t="shared" si="22"/>
        <v>0.75941406593406591</v>
      </c>
      <c r="CU22" s="64">
        <f t="shared" si="23"/>
        <v>0.6995270071105365</v>
      </c>
      <c r="CV22" s="64">
        <f t="shared" si="23"/>
        <v>0.70451759534583058</v>
      </c>
      <c r="CW22" s="65">
        <f t="shared" si="47"/>
        <v>0.68928590537481615</v>
      </c>
      <c r="CX22" s="64">
        <f t="shared" si="48"/>
        <v>0.70950818358112466</v>
      </c>
      <c r="CY22" s="65">
        <f t="shared" si="49"/>
        <v>0.6790448036390957</v>
      </c>
      <c r="CZ22" s="64">
        <f t="shared" si="50"/>
        <v>0.71893485024779136</v>
      </c>
      <c r="DA22" s="65">
        <f t="shared" si="51"/>
        <v>0.65800809036373342</v>
      </c>
      <c r="DB22" s="64">
        <f t="shared" si="52"/>
        <v>0.72836151691445805</v>
      </c>
      <c r="DC22" s="65">
        <f t="shared" si="53"/>
        <v>0.63697137708837115</v>
      </c>
      <c r="DD22" s="64">
        <f t="shared" si="54"/>
        <v>0.73778818358112475</v>
      </c>
      <c r="DE22" s="65">
        <f t="shared" si="55"/>
        <v>0.61593466381300888</v>
      </c>
      <c r="DF22" s="64">
        <f t="shared" si="56"/>
        <v>0.74721485024779144</v>
      </c>
      <c r="DG22" s="65">
        <f t="shared" si="57"/>
        <v>0.5948979505376466</v>
      </c>
      <c r="DL22">
        <v>2032</v>
      </c>
      <c r="DM22" s="64">
        <f t="shared" si="58"/>
        <v>0.5948979505376466</v>
      </c>
      <c r="DN22" s="64">
        <f t="shared" si="59"/>
        <v>0.61593466381300888</v>
      </c>
      <c r="DO22" s="64">
        <f t="shared" si="60"/>
        <v>0.63697137708837115</v>
      </c>
      <c r="DP22" s="64">
        <f t="shared" si="61"/>
        <v>0.65800809036373342</v>
      </c>
      <c r="DQ22" s="64">
        <f t="shared" si="62"/>
        <v>0.6790448036390957</v>
      </c>
      <c r="DR22" s="64">
        <f t="shared" si="63"/>
        <v>0.68928590537481615</v>
      </c>
      <c r="DS22" s="64">
        <f t="shared" si="24"/>
        <v>0.6995270071105365</v>
      </c>
      <c r="DT22" s="64">
        <f t="shared" si="25"/>
        <v>0.75941406593406591</v>
      </c>
      <c r="DU22" s="64">
        <f t="shared" si="26"/>
        <v>0.85751625571508783</v>
      </c>
      <c r="DV22" s="64">
        <f t="shared" si="27"/>
        <v>0.8992680805326061</v>
      </c>
      <c r="DW22" s="64">
        <f t="shared" si="28"/>
        <v>0.91941406593406594</v>
      </c>
      <c r="DX22" s="64">
        <f t="shared" si="29"/>
        <v>0.92905692307692311</v>
      </c>
      <c r="DY22" s="64">
        <f t="shared" si="30"/>
        <v>0.93598000000000003</v>
      </c>
      <c r="DZ22" s="64">
        <f t="shared" si="31"/>
        <v>0.93847999999999998</v>
      </c>
      <c r="EA22" s="3">
        <f t="shared" si="64"/>
        <v>0.95</v>
      </c>
      <c r="EB22">
        <v>2032</v>
      </c>
      <c r="EC22" s="269">
        <f t="shared" si="65"/>
        <v>0.5948979505376466</v>
      </c>
      <c r="ED22" s="269">
        <f t="shared" si="66"/>
        <v>0.05</v>
      </c>
      <c r="EE22" s="64">
        <f t="shared" si="32"/>
        <v>2.1036713275362273E-2</v>
      </c>
      <c r="EF22" s="64">
        <f t="shared" si="32"/>
        <v>2.1036713275362273E-2</v>
      </c>
      <c r="EG22" s="64">
        <f t="shared" si="32"/>
        <v>2.1036713275362273E-2</v>
      </c>
      <c r="EH22" s="64">
        <f t="shared" si="32"/>
        <v>2.1036713275362273E-2</v>
      </c>
      <c r="EI22" s="64">
        <f t="shared" si="32"/>
        <v>1.0241101735720459E-2</v>
      </c>
      <c r="EJ22" s="64">
        <f t="shared" si="32"/>
        <v>1.0241101735720348E-2</v>
      </c>
      <c r="EK22" s="64">
        <f t="shared" si="32"/>
        <v>5.9887058823529404E-2</v>
      </c>
      <c r="EL22" s="64">
        <f t="shared" si="32"/>
        <v>9.810218978102192E-2</v>
      </c>
      <c r="EM22" s="64">
        <f t="shared" si="32"/>
        <v>4.1751824817518268E-2</v>
      </c>
      <c r="EN22" s="64">
        <f t="shared" si="32"/>
        <v>2.0145985401459843E-2</v>
      </c>
      <c r="EO22" s="64">
        <f t="shared" si="32"/>
        <v>9.6428571428571752E-3</v>
      </c>
      <c r="EP22" s="64">
        <f t="shared" si="32"/>
        <v>6.9230769230769207E-3</v>
      </c>
      <c r="EQ22" s="64">
        <f t="shared" si="32"/>
        <v>2.4999999999999467E-3</v>
      </c>
      <c r="ER22" s="64">
        <f t="shared" si="32"/>
        <v>1.1519999999999975E-2</v>
      </c>
      <c r="EX22" s="89">
        <v>2032</v>
      </c>
      <c r="EY22" s="278">
        <f t="shared" si="67"/>
        <v>1.03</v>
      </c>
      <c r="EZ22" s="278"/>
      <c r="FA22" s="278">
        <f t="shared" si="68"/>
        <v>0.64648978658065803</v>
      </c>
      <c r="FB22" s="278">
        <f t="shared" si="33"/>
        <v>0.05</v>
      </c>
      <c r="FC22" s="64">
        <f t="shared" si="69"/>
        <v>0.16450225168695659</v>
      </c>
      <c r="FD22" s="64">
        <f t="shared" si="70"/>
        <v>1.3175152941176469E-2</v>
      </c>
      <c r="FE22" s="64">
        <f t="shared" si="71"/>
        <v>0.1059503649635037</v>
      </c>
      <c r="FF22" s="64">
        <f t="shared" si="72"/>
        <v>4.509197080291974E-2</v>
      </c>
      <c r="FG22" s="64">
        <f t="shared" si="73"/>
        <v>2.1757664233576637E-2</v>
      </c>
      <c r="FH22" s="64">
        <f t="shared" si="74"/>
        <v>1.0414285714285753E-2</v>
      </c>
      <c r="FI22" s="64">
        <f t="shared" si="75"/>
        <v>7.4769230769230763E-3</v>
      </c>
      <c r="FJ22" s="64">
        <f t="shared" si="76"/>
        <v>2.6999999999999433E-3</v>
      </c>
      <c r="FK22" s="280">
        <f t="shared" si="77"/>
        <v>1.2441599999999976E-2</v>
      </c>
      <c r="FL22" s="64"/>
      <c r="FM22" s="89">
        <v>2032</v>
      </c>
      <c r="FN22" s="278">
        <f t="shared" si="78"/>
        <v>1.03</v>
      </c>
      <c r="FP22" s="278">
        <f t="shared" si="79"/>
        <v>0.66920943691804946</v>
      </c>
      <c r="FQ22" s="278">
        <f t="shared" si="80"/>
        <v>0.05</v>
      </c>
      <c r="FR22" s="64">
        <f t="shared" si="81"/>
        <v>0.13160180134956528</v>
      </c>
      <c r="FS22" s="64">
        <f t="shared" si="82"/>
        <v>2.3355952941176469E-2</v>
      </c>
      <c r="FT22" s="64">
        <f t="shared" si="83"/>
        <v>0.1059503649635037</v>
      </c>
      <c r="FU22" s="64">
        <f t="shared" si="84"/>
        <v>4.509197080291974E-2</v>
      </c>
      <c r="FV22" s="64">
        <f t="shared" si="85"/>
        <v>2.1757664233576637E-2</v>
      </c>
      <c r="FW22" s="64">
        <f t="shared" si="86"/>
        <v>1.0414285714285753E-2</v>
      </c>
      <c r="FX22" s="64">
        <f t="shared" si="87"/>
        <v>7.4769230769230763E-3</v>
      </c>
      <c r="FY22" s="64">
        <f t="shared" si="88"/>
        <v>2.6999999999999433E-3</v>
      </c>
      <c r="FZ22" s="280">
        <f t="shared" si="89"/>
        <v>1.2441599999999976E-2</v>
      </c>
      <c r="GA22" s="64"/>
      <c r="GB22" s="89">
        <v>2032</v>
      </c>
      <c r="GC22" s="278">
        <f t="shared" si="90"/>
        <v>1.03</v>
      </c>
      <c r="GE22" s="278">
        <f t="shared" si="91"/>
        <v>0.69192908725544067</v>
      </c>
      <c r="GF22" s="278">
        <f t="shared" si="92"/>
        <v>0.05</v>
      </c>
      <c r="GG22" s="64">
        <f t="shared" si="93"/>
        <v>9.8701351012173963E-2</v>
      </c>
      <c r="GH22" s="64">
        <f t="shared" si="94"/>
        <v>3.3536752941176466E-2</v>
      </c>
      <c r="GI22" s="64">
        <f t="shared" si="95"/>
        <v>0.1059503649635037</v>
      </c>
      <c r="GJ22" s="64">
        <f t="shared" si="96"/>
        <v>4.509197080291974E-2</v>
      </c>
      <c r="GK22" s="64">
        <f t="shared" si="97"/>
        <v>2.1757664233576637E-2</v>
      </c>
      <c r="GL22" s="64">
        <f t="shared" si="98"/>
        <v>1.0414285714285753E-2</v>
      </c>
      <c r="GM22" s="64">
        <f t="shared" si="99"/>
        <v>7.4769230769230763E-3</v>
      </c>
      <c r="GN22" s="64">
        <f t="shared" si="100"/>
        <v>2.6999999999999433E-3</v>
      </c>
      <c r="GO22" s="280">
        <f t="shared" si="101"/>
        <v>1.2441599999999976E-2</v>
      </c>
      <c r="GP22" s="64"/>
      <c r="GQ22" s="89">
        <v>2032</v>
      </c>
      <c r="GR22" s="278">
        <f t="shared" si="102"/>
        <v>1.03</v>
      </c>
      <c r="GT22" s="278">
        <f t="shared" si="103"/>
        <v>0.7146487375928321</v>
      </c>
      <c r="GU22" s="278">
        <f t="shared" si="104"/>
        <v>0.05</v>
      </c>
      <c r="GV22" s="64">
        <f t="shared" si="105"/>
        <v>6.5800900674782642E-2</v>
      </c>
      <c r="GW22" s="64">
        <f t="shared" si="106"/>
        <v>4.3717552941176463E-2</v>
      </c>
      <c r="GX22" s="64">
        <f t="shared" si="107"/>
        <v>0.1059503649635037</v>
      </c>
      <c r="GY22" s="64">
        <f t="shared" si="108"/>
        <v>4.509197080291974E-2</v>
      </c>
      <c r="GZ22" s="64">
        <f t="shared" si="109"/>
        <v>2.1757664233576637E-2</v>
      </c>
      <c r="HA22" s="64">
        <f t="shared" si="110"/>
        <v>1.0414285714285753E-2</v>
      </c>
      <c r="HB22" s="64">
        <f t="shared" si="111"/>
        <v>7.4769230769230763E-3</v>
      </c>
      <c r="HC22" s="64">
        <f t="shared" si="112"/>
        <v>2.6999999999999433E-3</v>
      </c>
      <c r="HD22" s="280">
        <f t="shared" si="113"/>
        <v>1.2441599999999976E-2</v>
      </c>
      <c r="HE22" s="64"/>
      <c r="HF22" s="89">
        <v>2032</v>
      </c>
      <c r="HG22" s="278">
        <f t="shared" si="114"/>
        <v>1.03</v>
      </c>
      <c r="HI22" s="278">
        <f t="shared" si="115"/>
        <v>0.73736838793022341</v>
      </c>
      <c r="HJ22" s="278">
        <f t="shared" si="116"/>
        <v>0.05</v>
      </c>
      <c r="HK22" s="64">
        <f t="shared" si="117"/>
        <v>3.2900450337391314E-2</v>
      </c>
      <c r="HL22" s="64">
        <f t="shared" si="118"/>
        <v>5.389835294117646E-2</v>
      </c>
      <c r="HM22" s="64">
        <f t="shared" si="119"/>
        <v>0.1059503649635037</v>
      </c>
      <c r="HN22" s="64">
        <f t="shared" si="120"/>
        <v>4.509197080291974E-2</v>
      </c>
      <c r="HO22" s="64">
        <f t="shared" si="121"/>
        <v>2.1757664233576637E-2</v>
      </c>
      <c r="HP22" s="64">
        <f t="shared" si="122"/>
        <v>1.0414285714285753E-2</v>
      </c>
      <c r="HQ22" s="64">
        <f t="shared" si="123"/>
        <v>7.4769230769230763E-3</v>
      </c>
      <c r="HR22" s="64">
        <f t="shared" si="124"/>
        <v>2.6999999999999433E-3</v>
      </c>
      <c r="HS22" s="280">
        <f t="shared" si="125"/>
        <v>1.2441599999999976E-2</v>
      </c>
      <c r="HT22" s="64"/>
      <c r="HU22" s="89">
        <v>2032</v>
      </c>
      <c r="HV22" s="278">
        <f t="shared" si="126"/>
        <v>1.03</v>
      </c>
      <c r="HX22" s="278">
        <f t="shared" si="127"/>
        <v>0.74842877780480144</v>
      </c>
      <c r="HY22" s="278">
        <f t="shared" si="128"/>
        <v>0.05</v>
      </c>
      <c r="HZ22" s="64">
        <f t="shared" si="129"/>
        <v>1.6450225168695643E-2</v>
      </c>
      <c r="IA22" s="64">
        <f t="shared" si="130"/>
        <v>5.9288188235294109E-2</v>
      </c>
      <c r="IB22" s="64">
        <f t="shared" si="131"/>
        <v>0.1059503649635037</v>
      </c>
      <c r="IC22" s="64">
        <f t="shared" si="132"/>
        <v>4.509197080291974E-2</v>
      </c>
      <c r="ID22" s="64">
        <f t="shared" si="133"/>
        <v>2.1757664233576637E-2</v>
      </c>
      <c r="IE22" s="64">
        <f t="shared" si="134"/>
        <v>1.0414285714285753E-2</v>
      </c>
      <c r="IF22" s="64">
        <f t="shared" si="135"/>
        <v>7.4769230769230763E-3</v>
      </c>
      <c r="IG22" s="64">
        <f t="shared" si="136"/>
        <v>2.6999999999999433E-3</v>
      </c>
      <c r="IH22" s="280">
        <f t="shared" si="137"/>
        <v>1.2441599999999976E-2</v>
      </c>
      <c r="II22" s="64"/>
      <c r="IJ22" s="89">
        <v>2032</v>
      </c>
      <c r="IK22" s="278">
        <f t="shared" si="138"/>
        <v>1.03</v>
      </c>
      <c r="IM22" s="278">
        <f t="shared" si="139"/>
        <v>0.75948916767937935</v>
      </c>
      <c r="IN22" s="278">
        <f t="shared" si="140"/>
        <v>0.05</v>
      </c>
      <c r="IO22" s="64">
        <v>0</v>
      </c>
      <c r="IP22" s="64">
        <f t="shared" si="141"/>
        <v>6.4678023529411752E-2</v>
      </c>
      <c r="IQ22" s="64">
        <f t="shared" si="142"/>
        <v>0.1059503649635037</v>
      </c>
      <c r="IR22" s="64">
        <f t="shared" si="143"/>
        <v>4.509197080291974E-2</v>
      </c>
      <c r="IS22" s="64">
        <f t="shared" si="144"/>
        <v>2.1757664233576637E-2</v>
      </c>
      <c r="IT22" s="64">
        <f t="shared" si="145"/>
        <v>1.0414285714285753E-2</v>
      </c>
      <c r="IU22" s="64">
        <f t="shared" si="146"/>
        <v>7.4769230769230763E-3</v>
      </c>
      <c r="IV22" s="64">
        <f t="shared" si="147"/>
        <v>2.6999999999999433E-3</v>
      </c>
      <c r="IW22" s="280">
        <f t="shared" si="148"/>
        <v>1.2441599999999976E-2</v>
      </c>
      <c r="IX22" s="64"/>
      <c r="IY22" s="3">
        <f t="shared" si="149"/>
        <v>0.41499999999999915</v>
      </c>
      <c r="IZ22">
        <f t="shared" si="34"/>
        <v>2032</v>
      </c>
      <c r="JA22" s="3">
        <f t="shared" si="150"/>
        <v>11.213811061911944</v>
      </c>
      <c r="JB22" s="353">
        <f>HLOOKUP('1 StrategyMix for CarbonTargets'!$V$46,'Stress calculations'!JI$8:JU$39,15,FALSE)</f>
        <v>11.342088941788978</v>
      </c>
      <c r="JC22" s="3">
        <f t="shared" si="151"/>
        <v>12.87</v>
      </c>
      <c r="JD22" s="353">
        <f t="shared" si="152"/>
        <v>13.547368421052632</v>
      </c>
      <c r="JE22" s="418">
        <f t="shared" si="35"/>
        <v>0.4149999999999997</v>
      </c>
      <c r="JF22" s="368">
        <f t="shared" si="153"/>
        <v>8.5474999999999959</v>
      </c>
      <c r="JG22" s="369">
        <f t="shared" si="154"/>
        <v>8.9973684210526272</v>
      </c>
      <c r="JH22" s="363">
        <f t="shared" si="155"/>
        <v>10.664469654857211</v>
      </c>
      <c r="JI22" s="362">
        <f t="shared" si="36"/>
        <v>11.225757531428643</v>
      </c>
      <c r="JJ22" s="366">
        <f t="shared" si="37"/>
        <v>10.774984494699529</v>
      </c>
      <c r="JK22" s="367">
        <f t="shared" si="8"/>
        <v>11.342088941788978</v>
      </c>
      <c r="JL22" s="363">
        <f t="shared" si="38"/>
        <v>10.88549933454185</v>
      </c>
      <c r="JM22" s="362">
        <f t="shared" si="39"/>
        <v>11.458420352149316</v>
      </c>
      <c r="JN22" s="366">
        <f t="shared" si="156"/>
        <v>10.996014174384166</v>
      </c>
      <c r="JO22" s="367">
        <f t="shared" si="40"/>
        <v>11.574751762509649</v>
      </c>
      <c r="JP22" s="363">
        <f t="shared" si="157"/>
        <v>11.106529014226489</v>
      </c>
      <c r="JQ22" s="362">
        <f t="shared" si="41"/>
        <v>11.691083172869989</v>
      </c>
      <c r="JR22" s="366">
        <f t="shared" si="158"/>
        <v>11.160170038069214</v>
      </c>
      <c r="JS22" s="367">
        <f t="shared" si="42"/>
        <v>11.74754740849391</v>
      </c>
      <c r="JT22" s="363">
        <f t="shared" si="159"/>
        <v>11.213811061911944</v>
      </c>
      <c r="JU22" s="362">
        <f t="shared" si="43"/>
        <v>11.804011644117836</v>
      </c>
    </row>
    <row r="23" spans="1:283">
      <c r="A23" s="247"/>
      <c r="B23" s="247"/>
      <c r="C23" s="247"/>
      <c r="D23" s="247"/>
      <c r="E23" s="247"/>
      <c r="F23" s="247"/>
      <c r="H23" s="300"/>
      <c r="J23" s="301"/>
      <c r="AJ23" s="238"/>
      <c r="AO23" s="89">
        <v>2033</v>
      </c>
      <c r="AP23" s="170">
        <f t="shared" si="160"/>
        <v>-1.2480000000000003E-2</v>
      </c>
      <c r="AQ23" s="170">
        <f t="shared" si="160"/>
        <v>-2.7500000000000011E-3</v>
      </c>
      <c r="AR23" s="170">
        <f t="shared" si="160"/>
        <v>-7.7884615384615366E-3</v>
      </c>
      <c r="AS23" s="170">
        <f t="shared" si="160"/>
        <v>-1.2857142857142859E-2</v>
      </c>
      <c r="AU23" s="170">
        <f t="shared" si="161"/>
        <v>-2.1824817518248177E-2</v>
      </c>
      <c r="AV23" s="170">
        <f t="shared" si="162"/>
        <v>-4.5231143552311434E-2</v>
      </c>
      <c r="AW23" s="170">
        <f t="shared" si="163"/>
        <v>-0.1062773722627737</v>
      </c>
      <c r="AY23" s="170">
        <f t="shared" si="164"/>
        <v>-6.4877647058823498E-2</v>
      </c>
      <c r="AZ23" s="278">
        <f t="shared" si="165"/>
        <v>5.4896470588235271E-3</v>
      </c>
      <c r="BA23" s="284">
        <f t="shared" si="166"/>
        <v>-2.8049136834782586E-2</v>
      </c>
      <c r="BB23" s="276">
        <f t="shared" si="167"/>
        <v>-2.3707902724637669E-2</v>
      </c>
      <c r="BC23" s="277">
        <f t="shared" si="168"/>
        <v>-1.7141139176811579E-2</v>
      </c>
      <c r="BD23" s="278">
        <f t="shared" si="169"/>
        <v>5.4896470588235271E-3</v>
      </c>
      <c r="BE23" s="284">
        <f t="shared" si="170"/>
        <v>-2.8049136834782627E-2</v>
      </c>
      <c r="BF23" s="276">
        <f t="shared" si="171"/>
        <v>-2.3707902724637669E-2</v>
      </c>
      <c r="BG23" s="277">
        <f t="shared" si="9"/>
        <v>-1.7141139176811607E-2</v>
      </c>
      <c r="BH23" s="278">
        <f t="shared" si="172"/>
        <v>1.0369333333333329E-2</v>
      </c>
      <c r="BI23" s="284">
        <f t="shared" si="173"/>
        <v>-5.6098273669565241E-2</v>
      </c>
      <c r="BJ23" s="276">
        <f t="shared" si="174"/>
        <v>-4.7415805449275414E-2</v>
      </c>
      <c r="BK23" s="277">
        <f t="shared" si="10"/>
        <v>-3.4282278353623213E-2</v>
      </c>
      <c r="BL23" s="278">
        <f t="shared" si="175"/>
        <v>1.0369333333333329E-2</v>
      </c>
      <c r="BM23" s="284">
        <f t="shared" si="176"/>
        <v>-5.6098273669565199E-2</v>
      </c>
      <c r="BN23" s="276">
        <f t="shared" si="177"/>
        <v>-4.7415805449275324E-2</v>
      </c>
      <c r="BO23" s="277">
        <f t="shared" si="11"/>
        <v>-3.4282278353623186E-2</v>
      </c>
      <c r="BP23" s="278">
        <f t="shared" si="178"/>
        <v>1.0369333333333329E-2</v>
      </c>
      <c r="BQ23" s="284">
        <f t="shared" si="179"/>
        <v>-5.6098273669565255E-2</v>
      </c>
      <c r="BR23" s="276">
        <f t="shared" si="180"/>
        <v>-4.7415805449275372E-2</v>
      </c>
      <c r="BS23" s="277">
        <f t="shared" si="12"/>
        <v>-3.42822783536232E-2</v>
      </c>
      <c r="BT23" s="278">
        <f t="shared" si="181"/>
        <v>1.0369333333333329E-2</v>
      </c>
      <c r="BU23" s="284">
        <f t="shared" si="182"/>
        <v>-5.6098273669565199E-2</v>
      </c>
      <c r="BV23" s="276">
        <f t="shared" si="183"/>
        <v>-4.7415805449275351E-2</v>
      </c>
      <c r="BW23" s="278">
        <f t="shared" si="13"/>
        <v>-3.4282278353623179E-2</v>
      </c>
      <c r="BX23" s="391">
        <f t="shared" si="44"/>
        <v>-2.2790352941176456E-2</v>
      </c>
      <c r="BY23" s="388">
        <f t="shared" si="45"/>
        <v>-0.1371291134144928</v>
      </c>
      <c r="BZ23" s="409">
        <f t="shared" si="184"/>
        <v>0.48888888888888893</v>
      </c>
      <c r="CB23" s="279">
        <f t="shared" si="185"/>
        <v>-0.27408658478776121</v>
      </c>
      <c r="CC23" s="64">
        <f t="shared" si="15"/>
        <v>-0.28573807690574926</v>
      </c>
      <c r="CD23" s="64">
        <f t="shared" si="16"/>
        <v>-0.29738956902373731</v>
      </c>
      <c r="CE23" s="64">
        <f t="shared" si="17"/>
        <v>-0.32130251404402721</v>
      </c>
      <c r="CF23" s="64">
        <f t="shared" si="18"/>
        <v>-0.34521545906431705</v>
      </c>
      <c r="CG23" s="64">
        <f t="shared" si="19"/>
        <v>-0.3691284040846069</v>
      </c>
      <c r="CH23" s="64">
        <f t="shared" si="20"/>
        <v>-0.39304134910489674</v>
      </c>
      <c r="CI23">
        <v>2033</v>
      </c>
      <c r="CJ23" s="240"/>
      <c r="CL23">
        <v>2033</v>
      </c>
      <c r="CM23" s="3">
        <f t="shared" si="46"/>
        <v>0.95</v>
      </c>
      <c r="CN23" s="64">
        <f t="shared" si="21"/>
        <v>0.93751999999999991</v>
      </c>
      <c r="CO23" s="64">
        <f t="shared" si="21"/>
        <v>0.93476999999999988</v>
      </c>
      <c r="CP23" s="64">
        <f t="shared" si="21"/>
        <v>0.9269815384615383</v>
      </c>
      <c r="CQ23" s="64">
        <f t="shared" si="21"/>
        <v>0.9141243956043954</v>
      </c>
      <c r="CR23" s="64">
        <f t="shared" si="22"/>
        <v>0.89229957808614724</v>
      </c>
      <c r="CS23" s="64">
        <f t="shared" si="22"/>
        <v>0.84706843453383585</v>
      </c>
      <c r="CT23" s="64">
        <f t="shared" si="22"/>
        <v>0.74079106227106217</v>
      </c>
      <c r="CU23" s="64">
        <f t="shared" si="23"/>
        <v>0.67591341521223869</v>
      </c>
      <c r="CV23" s="64">
        <f t="shared" si="23"/>
        <v>0.68140306227106218</v>
      </c>
      <c r="CW23" s="65">
        <f t="shared" si="47"/>
        <v>0.66426192309425058</v>
      </c>
      <c r="CX23" s="64">
        <f t="shared" si="48"/>
        <v>0.68689270932988566</v>
      </c>
      <c r="CY23" s="65">
        <f t="shared" si="49"/>
        <v>0.65261043097626248</v>
      </c>
      <c r="CZ23" s="64">
        <f t="shared" si="50"/>
        <v>0.69726204266321901</v>
      </c>
      <c r="DA23" s="65">
        <f t="shared" si="51"/>
        <v>0.62869748595597263</v>
      </c>
      <c r="DB23" s="64">
        <f t="shared" si="52"/>
        <v>0.70763137599655235</v>
      </c>
      <c r="DC23" s="65">
        <f t="shared" si="53"/>
        <v>0.60478454093568279</v>
      </c>
      <c r="DD23" s="64">
        <f t="shared" si="54"/>
        <v>0.71800070932988569</v>
      </c>
      <c r="DE23" s="65">
        <f t="shared" si="55"/>
        <v>0.58087159591539295</v>
      </c>
      <c r="DF23" s="64">
        <f t="shared" si="56"/>
        <v>0.72837004266321903</v>
      </c>
      <c r="DG23" s="65">
        <f t="shared" si="57"/>
        <v>0.5569586508951031</v>
      </c>
      <c r="DL23">
        <v>2033</v>
      </c>
      <c r="DM23" s="64">
        <f t="shared" si="58"/>
        <v>0.5569586508951031</v>
      </c>
      <c r="DN23" s="64">
        <f t="shared" si="59"/>
        <v>0.58087159591539295</v>
      </c>
      <c r="DO23" s="64">
        <f t="shared" si="60"/>
        <v>0.60478454093568279</v>
      </c>
      <c r="DP23" s="64">
        <f t="shared" si="61"/>
        <v>0.62869748595597263</v>
      </c>
      <c r="DQ23" s="64">
        <f t="shared" si="62"/>
        <v>0.65261043097626248</v>
      </c>
      <c r="DR23" s="64">
        <f t="shared" si="63"/>
        <v>0.66426192309425058</v>
      </c>
      <c r="DS23" s="64">
        <f t="shared" si="24"/>
        <v>0.67591341521223869</v>
      </c>
      <c r="DT23" s="64">
        <f t="shared" si="25"/>
        <v>0.74079106227106217</v>
      </c>
      <c r="DU23" s="64">
        <f t="shared" si="26"/>
        <v>0.84706843453383585</v>
      </c>
      <c r="DV23" s="64">
        <f t="shared" si="27"/>
        <v>0.89229957808614724</v>
      </c>
      <c r="DW23" s="64">
        <f t="shared" si="28"/>
        <v>0.9141243956043954</v>
      </c>
      <c r="DX23" s="64">
        <f t="shared" si="29"/>
        <v>0.9269815384615383</v>
      </c>
      <c r="DY23" s="64">
        <f t="shared" si="30"/>
        <v>0.93476999999999988</v>
      </c>
      <c r="DZ23" s="64">
        <f t="shared" si="31"/>
        <v>0.93751999999999991</v>
      </c>
      <c r="EA23" s="3">
        <f t="shared" si="64"/>
        <v>0.95</v>
      </c>
      <c r="EB23">
        <v>2033</v>
      </c>
      <c r="EC23" s="269">
        <f t="shared" si="65"/>
        <v>0.55695865089510321</v>
      </c>
      <c r="ED23" s="269">
        <f t="shared" si="66"/>
        <v>0.05</v>
      </c>
      <c r="EE23" s="64">
        <f t="shared" si="32"/>
        <v>2.3912945020289844E-2</v>
      </c>
      <c r="EF23" s="64">
        <f t="shared" si="32"/>
        <v>2.3912945020289844E-2</v>
      </c>
      <c r="EG23" s="64">
        <f t="shared" si="32"/>
        <v>2.3912945020289844E-2</v>
      </c>
      <c r="EH23" s="64">
        <f t="shared" si="32"/>
        <v>2.3912945020289844E-2</v>
      </c>
      <c r="EI23" s="64">
        <f t="shared" si="32"/>
        <v>1.1651492117988105E-2</v>
      </c>
      <c r="EJ23" s="64">
        <f t="shared" si="32"/>
        <v>1.1651492117988105E-2</v>
      </c>
      <c r="EK23" s="64">
        <f t="shared" si="32"/>
        <v>6.4877647058823484E-2</v>
      </c>
      <c r="EL23" s="64">
        <f t="shared" si="32"/>
        <v>0.10627737226277367</v>
      </c>
      <c r="EM23" s="64">
        <f t="shared" si="32"/>
        <v>4.5231143552311392E-2</v>
      </c>
      <c r="EN23" s="64">
        <f t="shared" si="32"/>
        <v>2.1824817518248163E-2</v>
      </c>
      <c r="EO23" s="64">
        <f t="shared" si="32"/>
        <v>1.28571428571429E-2</v>
      </c>
      <c r="EP23" s="64">
        <f t="shared" si="32"/>
        <v>7.7884615384615774E-3</v>
      </c>
      <c r="EQ23" s="64">
        <f t="shared" si="32"/>
        <v>2.7500000000000302E-3</v>
      </c>
      <c r="ER23" s="64">
        <f t="shared" si="32"/>
        <v>1.2480000000000047E-2</v>
      </c>
      <c r="EX23" s="89">
        <v>2033</v>
      </c>
      <c r="EY23" s="278">
        <f t="shared" si="67"/>
        <v>1.0366666666666666</v>
      </c>
      <c r="EZ23" s="278"/>
      <c r="FA23" s="278">
        <f t="shared" si="68"/>
        <v>0.60956173397267865</v>
      </c>
      <c r="FB23" s="278">
        <f t="shared" si="33"/>
        <v>0.05</v>
      </c>
      <c r="FC23" s="64">
        <f t="shared" si="69"/>
        <v>0.18626704572135269</v>
      </c>
      <c r="FD23" s="64">
        <f t="shared" si="70"/>
        <v>1.3497507973856198E-2</v>
      </c>
      <c r="FE23" s="64">
        <f t="shared" si="71"/>
        <v>0.11548807785888072</v>
      </c>
      <c r="FF23" s="64">
        <f t="shared" si="72"/>
        <v>4.9151175993511716E-2</v>
      </c>
      <c r="FG23" s="64">
        <f t="shared" si="73"/>
        <v>2.3716301703163002E-2</v>
      </c>
      <c r="FH23" s="64">
        <f t="shared" si="74"/>
        <v>1.3971428571428619E-2</v>
      </c>
      <c r="FI23" s="64">
        <f t="shared" si="75"/>
        <v>8.4634615384615811E-3</v>
      </c>
      <c r="FJ23" s="64">
        <f t="shared" si="76"/>
        <v>2.9883333333333663E-3</v>
      </c>
      <c r="FK23" s="280">
        <f t="shared" si="77"/>
        <v>1.356160000000005E-2</v>
      </c>
      <c r="FL23" s="64"/>
      <c r="FM23" s="89">
        <v>2033</v>
      </c>
      <c r="FN23" s="278">
        <f t="shared" si="78"/>
        <v>1.0366666666666666</v>
      </c>
      <c r="FP23" s="278">
        <f t="shared" si="79"/>
        <v>0.63554713422806031</v>
      </c>
      <c r="FQ23" s="278">
        <f t="shared" si="80"/>
        <v>0.05</v>
      </c>
      <c r="FR23" s="64">
        <f t="shared" si="81"/>
        <v>0.14901363657708216</v>
      </c>
      <c r="FS23" s="64">
        <f t="shared" si="82"/>
        <v>2.4765516862745082E-2</v>
      </c>
      <c r="FT23" s="64">
        <f t="shared" si="83"/>
        <v>0.11548807785888072</v>
      </c>
      <c r="FU23" s="64">
        <f t="shared" si="84"/>
        <v>4.9151175993511716E-2</v>
      </c>
      <c r="FV23" s="64">
        <f t="shared" si="85"/>
        <v>2.3716301703163002E-2</v>
      </c>
      <c r="FW23" s="64">
        <f t="shared" si="86"/>
        <v>1.3971428571428619E-2</v>
      </c>
      <c r="FX23" s="64">
        <f t="shared" si="87"/>
        <v>8.4634615384615811E-3</v>
      </c>
      <c r="FY23" s="64">
        <f t="shared" si="88"/>
        <v>2.9883333333333663E-3</v>
      </c>
      <c r="FZ23" s="280">
        <f t="shared" si="89"/>
        <v>1.356160000000005E-2</v>
      </c>
      <c r="GA23" s="64"/>
      <c r="GB23" s="89">
        <v>2033</v>
      </c>
      <c r="GC23" s="278">
        <f t="shared" si="90"/>
        <v>1.0366666666666666</v>
      </c>
      <c r="GE23" s="278">
        <f t="shared" si="91"/>
        <v>0.66153253448344196</v>
      </c>
      <c r="GF23" s="278">
        <f t="shared" si="92"/>
        <v>0.05</v>
      </c>
      <c r="GG23" s="64">
        <f t="shared" si="93"/>
        <v>0.11176022743281161</v>
      </c>
      <c r="GH23" s="64">
        <f t="shared" si="94"/>
        <v>3.6033525751633967E-2</v>
      </c>
      <c r="GI23" s="64">
        <f t="shared" si="95"/>
        <v>0.11548807785888072</v>
      </c>
      <c r="GJ23" s="64">
        <f t="shared" si="96"/>
        <v>4.9151175993511716E-2</v>
      </c>
      <c r="GK23" s="64">
        <f t="shared" si="97"/>
        <v>2.3716301703163002E-2</v>
      </c>
      <c r="GL23" s="64">
        <f t="shared" si="98"/>
        <v>1.3971428571428619E-2</v>
      </c>
      <c r="GM23" s="64">
        <f t="shared" si="99"/>
        <v>8.4634615384615811E-3</v>
      </c>
      <c r="GN23" s="64">
        <f t="shared" si="100"/>
        <v>2.9883333333333663E-3</v>
      </c>
      <c r="GO23" s="280">
        <f t="shared" si="101"/>
        <v>1.356160000000005E-2</v>
      </c>
      <c r="GP23" s="64"/>
      <c r="GQ23" s="89">
        <v>2033</v>
      </c>
      <c r="GR23" s="278">
        <f t="shared" si="102"/>
        <v>1.0366666666666666</v>
      </c>
      <c r="GT23" s="278">
        <f t="shared" si="103"/>
        <v>0.68751793473882361</v>
      </c>
      <c r="GU23" s="278">
        <f t="shared" si="104"/>
        <v>0.05</v>
      </c>
      <c r="GV23" s="64">
        <f t="shared" si="105"/>
        <v>7.4506818288541082E-2</v>
      </c>
      <c r="GW23" s="64">
        <f t="shared" si="106"/>
        <v>4.7301534640522849E-2</v>
      </c>
      <c r="GX23" s="64">
        <f t="shared" si="107"/>
        <v>0.11548807785888072</v>
      </c>
      <c r="GY23" s="64">
        <f t="shared" si="108"/>
        <v>4.9151175993511716E-2</v>
      </c>
      <c r="GZ23" s="64">
        <f t="shared" si="109"/>
        <v>2.3716301703163002E-2</v>
      </c>
      <c r="HA23" s="64">
        <f t="shared" si="110"/>
        <v>1.3971428571428619E-2</v>
      </c>
      <c r="HB23" s="64">
        <f t="shared" si="111"/>
        <v>8.4634615384615811E-3</v>
      </c>
      <c r="HC23" s="64">
        <f t="shared" si="112"/>
        <v>2.9883333333333663E-3</v>
      </c>
      <c r="HD23" s="280">
        <f t="shared" si="113"/>
        <v>1.356160000000005E-2</v>
      </c>
      <c r="HE23" s="64"/>
      <c r="HF23" s="89">
        <v>2033</v>
      </c>
      <c r="HG23" s="278">
        <f t="shared" si="114"/>
        <v>1.0366666666666666</v>
      </c>
      <c r="HI23" s="278">
        <f t="shared" si="115"/>
        <v>0.71350333499420526</v>
      </c>
      <c r="HJ23" s="278">
        <f t="shared" si="116"/>
        <v>0.05</v>
      </c>
      <c r="HK23" s="64">
        <f t="shared" si="117"/>
        <v>3.7253409144270527E-2</v>
      </c>
      <c r="HL23" s="64">
        <f t="shared" si="118"/>
        <v>5.8569543529411731E-2</v>
      </c>
      <c r="HM23" s="64">
        <f t="shared" si="119"/>
        <v>0.11548807785888072</v>
      </c>
      <c r="HN23" s="64">
        <f t="shared" si="120"/>
        <v>4.9151175993511716E-2</v>
      </c>
      <c r="HO23" s="64">
        <f t="shared" si="121"/>
        <v>2.3716301703163002E-2</v>
      </c>
      <c r="HP23" s="64">
        <f t="shared" si="122"/>
        <v>1.3971428571428619E-2</v>
      </c>
      <c r="HQ23" s="64">
        <f t="shared" si="123"/>
        <v>8.4634615384615811E-3</v>
      </c>
      <c r="HR23" s="64">
        <f t="shared" si="124"/>
        <v>2.9883333333333663E-3</v>
      </c>
      <c r="HS23" s="280">
        <f t="shared" si="125"/>
        <v>1.356160000000005E-2</v>
      </c>
      <c r="HT23" s="64"/>
      <c r="HU23" s="89">
        <v>2033</v>
      </c>
      <c r="HV23" s="278">
        <f t="shared" si="126"/>
        <v>1.0366666666666666</v>
      </c>
      <c r="HX23" s="278">
        <f t="shared" si="127"/>
        <v>0.72616462309575236</v>
      </c>
      <c r="HY23" s="278">
        <f t="shared" si="128"/>
        <v>0.05</v>
      </c>
      <c r="HZ23" s="64">
        <f t="shared" si="129"/>
        <v>1.862670457213525E-2</v>
      </c>
      <c r="IA23" s="64">
        <f t="shared" si="130"/>
        <v>6.4534959999999961E-2</v>
      </c>
      <c r="IB23" s="64">
        <f t="shared" si="131"/>
        <v>0.11548807785888072</v>
      </c>
      <c r="IC23" s="64">
        <f t="shared" si="132"/>
        <v>4.9151175993511716E-2</v>
      </c>
      <c r="ID23" s="64">
        <f t="shared" si="133"/>
        <v>2.3716301703163002E-2</v>
      </c>
      <c r="IE23" s="64">
        <f t="shared" si="134"/>
        <v>1.3971428571428619E-2</v>
      </c>
      <c r="IF23" s="64">
        <f t="shared" si="135"/>
        <v>8.4634615384615811E-3</v>
      </c>
      <c r="IG23" s="64">
        <f t="shared" si="136"/>
        <v>2.9883333333333663E-3</v>
      </c>
      <c r="IH23" s="280">
        <f t="shared" si="137"/>
        <v>1.356160000000005E-2</v>
      </c>
      <c r="II23" s="64"/>
      <c r="IJ23" s="89">
        <v>2033</v>
      </c>
      <c r="IK23" s="278">
        <f t="shared" si="138"/>
        <v>1.0366666666666666</v>
      </c>
      <c r="IM23" s="278">
        <f t="shared" si="139"/>
        <v>0.73882591119729935</v>
      </c>
      <c r="IN23" s="278">
        <f t="shared" si="140"/>
        <v>0.05</v>
      </c>
      <c r="IO23" s="64">
        <v>0</v>
      </c>
      <c r="IP23" s="64">
        <f t="shared" si="141"/>
        <v>7.0500376470588197E-2</v>
      </c>
      <c r="IQ23" s="64">
        <f t="shared" si="142"/>
        <v>0.11548807785888072</v>
      </c>
      <c r="IR23" s="64">
        <f t="shared" si="143"/>
        <v>4.9151175993511716E-2</v>
      </c>
      <c r="IS23" s="64">
        <f t="shared" si="144"/>
        <v>2.3716301703163002E-2</v>
      </c>
      <c r="IT23" s="64">
        <f t="shared" si="145"/>
        <v>1.3971428571428619E-2</v>
      </c>
      <c r="IU23" s="64">
        <f t="shared" si="146"/>
        <v>8.4634615384615811E-3</v>
      </c>
      <c r="IV23" s="64">
        <f t="shared" si="147"/>
        <v>2.9883333333333663E-3</v>
      </c>
      <c r="IW23" s="280">
        <f t="shared" si="148"/>
        <v>1.356160000000005E-2</v>
      </c>
      <c r="IX23" s="64"/>
      <c r="IY23" s="3">
        <f t="shared" si="149"/>
        <v>0.39749999999999908</v>
      </c>
      <c r="IZ23">
        <f t="shared" si="34"/>
        <v>2033</v>
      </c>
      <c r="JA23" s="3">
        <f t="shared" si="150"/>
        <v>11.952636973109243</v>
      </c>
      <c r="JB23" s="353">
        <f>HLOOKUP('1 StrategyMix for CarbonTargets'!$V$46,'Stress calculations'!JI$8:JU$39,16,FALSE)</f>
        <v>12.011085925186936</v>
      </c>
      <c r="JC23" s="3">
        <f t="shared" si="151"/>
        <v>13.906666666666666</v>
      </c>
      <c r="JD23" s="353">
        <f t="shared" si="152"/>
        <v>14.638596491228071</v>
      </c>
      <c r="JE23" s="418">
        <f t="shared" si="35"/>
        <v>0.39749999999999974</v>
      </c>
      <c r="JF23" s="368">
        <f t="shared" si="153"/>
        <v>8.944999999999995</v>
      </c>
      <c r="JG23" s="369">
        <f t="shared" si="154"/>
        <v>9.4157894736842049</v>
      </c>
      <c r="JH23" s="363">
        <f t="shared" si="155"/>
        <v>11.27403138882989</v>
      </c>
      <c r="JI23" s="362">
        <f t="shared" si="36"/>
        <v>11.867401461926201</v>
      </c>
      <c r="JJ23" s="366">
        <f t="shared" si="37"/>
        <v>11.41053162892759</v>
      </c>
      <c r="JK23" s="367">
        <f t="shared" si="8"/>
        <v>12.011085925186936</v>
      </c>
      <c r="JL23" s="363">
        <f t="shared" si="38"/>
        <v>11.547031869025291</v>
      </c>
      <c r="JM23" s="362">
        <f t="shared" si="39"/>
        <v>12.154770388447675</v>
      </c>
      <c r="JN23" s="366">
        <f t="shared" si="156"/>
        <v>11.683532109122989</v>
      </c>
      <c r="JO23" s="367">
        <f t="shared" si="40"/>
        <v>12.29845485170841</v>
      </c>
      <c r="JP23" s="363">
        <f t="shared" si="157"/>
        <v>11.820032349220694</v>
      </c>
      <c r="JQ23" s="362">
        <f t="shared" si="41"/>
        <v>12.442139314969152</v>
      </c>
      <c r="JR23" s="366">
        <f t="shared" si="158"/>
        <v>11.886334661164966</v>
      </c>
      <c r="JS23" s="367">
        <f t="shared" si="42"/>
        <v>12.511931222278912</v>
      </c>
      <c r="JT23" s="363">
        <f t="shared" si="159"/>
        <v>11.952636973109243</v>
      </c>
      <c r="JU23" s="362">
        <f t="shared" si="43"/>
        <v>12.581723129588678</v>
      </c>
    </row>
    <row r="24" spans="1:283" ht="26.5" customHeight="1">
      <c r="A24" s="690" t="s">
        <v>105</v>
      </c>
      <c r="B24" s="690"/>
      <c r="C24" s="690"/>
      <c r="D24" s="690"/>
      <c r="E24" s="690"/>
      <c r="F24" s="690"/>
      <c r="G24" s="6"/>
      <c r="H24" s="300"/>
      <c r="J24" s="301"/>
      <c r="AO24" s="89">
        <v>2034</v>
      </c>
      <c r="AP24" s="170">
        <f t="shared" si="160"/>
        <v>-1.3440000000000004E-2</v>
      </c>
      <c r="AQ24" s="170">
        <f t="shared" si="160"/>
        <v>-3.0000000000000014E-3</v>
      </c>
      <c r="AR24" s="170">
        <f t="shared" si="160"/>
        <v>-8.6538461538461526E-3</v>
      </c>
      <c r="AS24" s="170">
        <f t="shared" si="160"/>
        <v>-1.6071428571428573E-2</v>
      </c>
      <c r="AU24" s="170">
        <f t="shared" si="161"/>
        <v>-2.3503649635036497E-2</v>
      </c>
      <c r="AV24" s="170">
        <f t="shared" si="162"/>
        <v>-4.8710462287104621E-2</v>
      </c>
      <c r="AW24" s="170">
        <f t="shared" si="163"/>
        <v>-0.11445255474452552</v>
      </c>
      <c r="AY24" s="170">
        <f t="shared" si="164"/>
        <v>-6.986823529411762E-2</v>
      </c>
      <c r="AZ24" s="278">
        <f t="shared" si="165"/>
        <v>5.9887058823529385E-3</v>
      </c>
      <c r="BA24" s="284">
        <f t="shared" si="166"/>
        <v>-2.8681231721739107E-2</v>
      </c>
      <c r="BB24" s="276">
        <f t="shared" si="167"/>
        <v>-2.5863166608695639E-2</v>
      </c>
      <c r="BC24" s="277">
        <f t="shared" si="168"/>
        <v>-1.9120821147826074E-2</v>
      </c>
      <c r="BD24" s="278">
        <f t="shared" si="169"/>
        <v>5.9887058823529385E-3</v>
      </c>
      <c r="BE24" s="284">
        <f t="shared" si="170"/>
        <v>-2.8681231721739149E-2</v>
      </c>
      <c r="BF24" s="276">
        <f t="shared" si="171"/>
        <v>-2.5863166608695639E-2</v>
      </c>
      <c r="BG24" s="277">
        <f t="shared" si="9"/>
        <v>-1.9120821147826102E-2</v>
      </c>
      <c r="BH24" s="278">
        <f t="shared" si="172"/>
        <v>1.1311999999999996E-2</v>
      </c>
      <c r="BI24" s="284">
        <f t="shared" si="173"/>
        <v>-5.7362463443478284E-2</v>
      </c>
      <c r="BJ24" s="276">
        <f t="shared" si="174"/>
        <v>-5.1726333217391361E-2</v>
      </c>
      <c r="BK24" s="277">
        <f t="shared" si="10"/>
        <v>-3.8241642295652203E-2</v>
      </c>
      <c r="BL24" s="278">
        <f t="shared" si="175"/>
        <v>1.1311999999999996E-2</v>
      </c>
      <c r="BM24" s="284">
        <f t="shared" si="176"/>
        <v>-5.7362463443478243E-2</v>
      </c>
      <c r="BN24" s="276">
        <f t="shared" si="177"/>
        <v>-5.1726333217391264E-2</v>
      </c>
      <c r="BO24" s="277">
        <f t="shared" si="11"/>
        <v>-3.8241642295652169E-2</v>
      </c>
      <c r="BP24" s="278">
        <f t="shared" si="178"/>
        <v>1.1311999999999996E-2</v>
      </c>
      <c r="BQ24" s="284">
        <f t="shared" si="179"/>
        <v>-5.7362463443478298E-2</v>
      </c>
      <c r="BR24" s="276">
        <f t="shared" si="180"/>
        <v>-5.1726333217391313E-2</v>
      </c>
      <c r="BS24" s="277">
        <f t="shared" si="12"/>
        <v>-3.824164229565219E-2</v>
      </c>
      <c r="BT24" s="278">
        <f t="shared" si="181"/>
        <v>1.1311999999999996E-2</v>
      </c>
      <c r="BU24" s="284">
        <f t="shared" si="182"/>
        <v>-5.7362463443478243E-2</v>
      </c>
      <c r="BV24" s="276">
        <f t="shared" si="183"/>
        <v>-5.1726333217391292E-2</v>
      </c>
      <c r="BW24" s="278">
        <f t="shared" si="13"/>
        <v>-3.8241642295652162E-2</v>
      </c>
      <c r="BX24" s="391">
        <f t="shared" si="44"/>
        <v>-2.3954823529411758E-2</v>
      </c>
      <c r="BY24" s="388">
        <f t="shared" si="45"/>
        <v>-0.15296656918260873</v>
      </c>
      <c r="BZ24" s="409">
        <f t="shared" si="184"/>
        <v>0.53333333333333333</v>
      </c>
      <c r="CB24" s="279">
        <f t="shared" si="185"/>
        <v>-0.29770017668605897</v>
      </c>
      <c r="CC24" s="64">
        <f t="shared" si="15"/>
        <v>-0.31083229195153211</v>
      </c>
      <c r="CD24" s="64">
        <f t="shared" si="16"/>
        <v>-0.32396440721700526</v>
      </c>
      <c r="CE24" s="64">
        <f t="shared" si="17"/>
        <v>-0.35089404951265746</v>
      </c>
      <c r="CF24" s="64">
        <f t="shared" si="18"/>
        <v>-0.37782369180830966</v>
      </c>
      <c r="CG24" s="64">
        <f t="shared" si="19"/>
        <v>-0.40475333410396186</v>
      </c>
      <c r="CH24" s="64">
        <f t="shared" si="20"/>
        <v>-0.43168297639961406</v>
      </c>
      <c r="CI24">
        <v>2034</v>
      </c>
      <c r="CJ24" s="240"/>
      <c r="CL24">
        <v>2034</v>
      </c>
      <c r="CM24" s="3">
        <f t="shared" si="46"/>
        <v>0.95</v>
      </c>
      <c r="CN24" s="64">
        <f t="shared" si="21"/>
        <v>0.93655999999999995</v>
      </c>
      <c r="CO24" s="64">
        <f t="shared" si="21"/>
        <v>0.93355999999999995</v>
      </c>
      <c r="CP24" s="64">
        <f t="shared" si="21"/>
        <v>0.92490615384615382</v>
      </c>
      <c r="CQ24" s="64">
        <f t="shared" si="21"/>
        <v>0.9088347252747252</v>
      </c>
      <c r="CR24" s="64">
        <f t="shared" si="22"/>
        <v>0.88533107563968871</v>
      </c>
      <c r="CS24" s="64">
        <f t="shared" si="22"/>
        <v>0.83662061335258409</v>
      </c>
      <c r="CT24" s="64">
        <f t="shared" si="22"/>
        <v>0.72216805860805855</v>
      </c>
      <c r="CU24" s="64">
        <f t="shared" si="23"/>
        <v>0.65229982331394099</v>
      </c>
      <c r="CV24" s="64">
        <f t="shared" si="23"/>
        <v>0.65828852919629388</v>
      </c>
      <c r="CW24" s="65">
        <f t="shared" si="47"/>
        <v>0.63916770804846779</v>
      </c>
      <c r="CX24" s="64">
        <f t="shared" si="48"/>
        <v>0.66427723507864678</v>
      </c>
      <c r="CY24" s="65">
        <f t="shared" si="49"/>
        <v>0.62603559278299459</v>
      </c>
      <c r="CZ24" s="64">
        <f t="shared" si="50"/>
        <v>0.67558923507864677</v>
      </c>
      <c r="DA24" s="65">
        <f t="shared" si="51"/>
        <v>0.59910595048734239</v>
      </c>
      <c r="DB24" s="64">
        <f t="shared" si="52"/>
        <v>0.68690123507864675</v>
      </c>
      <c r="DC24" s="65">
        <f t="shared" si="53"/>
        <v>0.57217630819169019</v>
      </c>
      <c r="DD24" s="64">
        <f t="shared" si="54"/>
        <v>0.69821323507864674</v>
      </c>
      <c r="DE24" s="65">
        <f t="shared" si="55"/>
        <v>0.54524666589603799</v>
      </c>
      <c r="DF24" s="64">
        <f t="shared" si="56"/>
        <v>0.70952523507864673</v>
      </c>
      <c r="DG24" s="65">
        <f t="shared" si="57"/>
        <v>0.51831702360038578</v>
      </c>
      <c r="DL24">
        <v>2034</v>
      </c>
      <c r="DM24" s="64">
        <f t="shared" si="58"/>
        <v>0.51831702360038578</v>
      </c>
      <c r="DN24" s="64">
        <f t="shared" si="59"/>
        <v>0.54524666589603799</v>
      </c>
      <c r="DO24" s="64">
        <f t="shared" si="60"/>
        <v>0.57217630819169019</v>
      </c>
      <c r="DP24" s="64">
        <f t="shared" si="61"/>
        <v>0.59910595048734239</v>
      </c>
      <c r="DQ24" s="64">
        <f t="shared" si="62"/>
        <v>0.62603559278299459</v>
      </c>
      <c r="DR24" s="64">
        <f t="shared" si="63"/>
        <v>0.63916770804846779</v>
      </c>
      <c r="DS24" s="64">
        <f t="shared" si="24"/>
        <v>0.65229982331394099</v>
      </c>
      <c r="DT24" s="64">
        <f t="shared" si="25"/>
        <v>0.72216805860805855</v>
      </c>
      <c r="DU24" s="64">
        <f t="shared" si="26"/>
        <v>0.83662061335258409</v>
      </c>
      <c r="DV24" s="64">
        <f t="shared" si="27"/>
        <v>0.88533107563968871</v>
      </c>
      <c r="DW24" s="64">
        <f t="shared" si="28"/>
        <v>0.9088347252747252</v>
      </c>
      <c r="DX24" s="64">
        <f t="shared" si="29"/>
        <v>0.92490615384615382</v>
      </c>
      <c r="DY24" s="64">
        <f t="shared" si="30"/>
        <v>0.93355999999999995</v>
      </c>
      <c r="DZ24" s="64">
        <f t="shared" si="31"/>
        <v>0.93655999999999995</v>
      </c>
      <c r="EA24" s="3">
        <f t="shared" si="64"/>
        <v>0.95</v>
      </c>
      <c r="EB24">
        <v>2034</v>
      </c>
      <c r="EC24" s="269">
        <f t="shared" si="65"/>
        <v>0.51831702360038578</v>
      </c>
      <c r="ED24" s="269">
        <f t="shared" si="66"/>
        <v>0.05</v>
      </c>
      <c r="EE24" s="64">
        <f t="shared" si="32"/>
        <v>2.6929642295652201E-2</v>
      </c>
      <c r="EF24" s="64">
        <f t="shared" si="32"/>
        <v>2.6929642295652201E-2</v>
      </c>
      <c r="EG24" s="64">
        <f t="shared" si="32"/>
        <v>2.6929642295652201E-2</v>
      </c>
      <c r="EH24" s="64">
        <f t="shared" si="32"/>
        <v>2.6929642295652201E-2</v>
      </c>
      <c r="EI24" s="64">
        <f t="shared" si="32"/>
        <v>1.3132115265473199E-2</v>
      </c>
      <c r="EJ24" s="64">
        <f t="shared" si="32"/>
        <v>1.3132115265473199E-2</v>
      </c>
      <c r="EK24" s="64">
        <f t="shared" si="32"/>
        <v>6.9868235294117564E-2</v>
      </c>
      <c r="EL24" s="64">
        <f t="shared" si="32"/>
        <v>0.11445255474452554</v>
      </c>
      <c r="EM24" s="64">
        <f t="shared" si="32"/>
        <v>4.8710462287104628E-2</v>
      </c>
      <c r="EN24" s="64">
        <f t="shared" si="32"/>
        <v>2.3503649635036483E-2</v>
      </c>
      <c r="EO24" s="64">
        <f t="shared" si="32"/>
        <v>1.6071428571428625E-2</v>
      </c>
      <c r="EP24" s="64">
        <f t="shared" si="32"/>
        <v>8.6538461538461231E-3</v>
      </c>
      <c r="EQ24" s="64">
        <f t="shared" si="32"/>
        <v>3.0000000000000027E-3</v>
      </c>
      <c r="ER24" s="64">
        <f t="shared" si="32"/>
        <v>1.3440000000000007E-2</v>
      </c>
      <c r="EX24" s="89">
        <v>2034</v>
      </c>
      <c r="EY24" s="278">
        <f t="shared" si="67"/>
        <v>1.0433333333333332</v>
      </c>
      <c r="EZ24" s="278"/>
      <c r="FA24" s="278">
        <f t="shared" si="68"/>
        <v>0.57135994580308869</v>
      </c>
      <c r="FB24" s="278">
        <f t="shared" si="33"/>
        <v>0.05</v>
      </c>
      <c r="FC24" s="64">
        <f t="shared" si="69"/>
        <v>0.20905431121623186</v>
      </c>
      <c r="FD24" s="64">
        <f t="shared" si="70"/>
        <v>1.3822820392156857E-2</v>
      </c>
      <c r="FE24" s="64">
        <f t="shared" si="71"/>
        <v>0.12513479318734788</v>
      </c>
      <c r="FF24" s="64">
        <f t="shared" si="72"/>
        <v>5.3256772100567715E-2</v>
      </c>
      <c r="FG24" s="64">
        <f t="shared" si="73"/>
        <v>2.5697323600973213E-2</v>
      </c>
      <c r="FH24" s="64">
        <f t="shared" si="74"/>
        <v>1.7571428571428627E-2</v>
      </c>
      <c r="FI24" s="64">
        <f t="shared" si="75"/>
        <v>9.4615384615384258E-3</v>
      </c>
      <c r="FJ24" s="64">
        <f t="shared" si="76"/>
        <v>3.2800000000000021E-3</v>
      </c>
      <c r="FK24" s="280">
        <f t="shared" si="77"/>
        <v>1.4694400000000005E-2</v>
      </c>
      <c r="FL24" s="64"/>
      <c r="FM24" s="89">
        <v>2034</v>
      </c>
      <c r="FN24" s="278">
        <f t="shared" si="78"/>
        <v>1.0433333333333332</v>
      </c>
      <c r="FP24" s="278">
        <f t="shared" si="79"/>
        <v>0.60080302137966834</v>
      </c>
      <c r="FQ24" s="278">
        <f t="shared" si="80"/>
        <v>0.05</v>
      </c>
      <c r="FR24" s="64">
        <f t="shared" si="81"/>
        <v>0.16724344897298551</v>
      </c>
      <c r="FS24" s="64">
        <f t="shared" si="82"/>
        <v>2.6190607058823513E-2</v>
      </c>
      <c r="FT24" s="64">
        <f t="shared" si="83"/>
        <v>0.12513479318734788</v>
      </c>
      <c r="FU24" s="64">
        <f t="shared" si="84"/>
        <v>5.3256772100567715E-2</v>
      </c>
      <c r="FV24" s="64">
        <f t="shared" si="85"/>
        <v>2.5697323600973213E-2</v>
      </c>
      <c r="FW24" s="64">
        <f t="shared" si="86"/>
        <v>1.7571428571428627E-2</v>
      </c>
      <c r="FX24" s="64">
        <f t="shared" si="87"/>
        <v>9.4615384615384258E-3</v>
      </c>
      <c r="FY24" s="64">
        <f t="shared" si="88"/>
        <v>3.2800000000000021E-3</v>
      </c>
      <c r="FZ24" s="280">
        <f t="shared" si="89"/>
        <v>1.4694400000000005E-2</v>
      </c>
      <c r="GA24" s="64"/>
      <c r="GB24" s="89">
        <v>2034</v>
      </c>
      <c r="GC24" s="278">
        <f t="shared" si="90"/>
        <v>1.0433333333333332</v>
      </c>
      <c r="GE24" s="278">
        <f t="shared" si="91"/>
        <v>0.630246096956248</v>
      </c>
      <c r="GF24" s="278">
        <f t="shared" si="92"/>
        <v>0.05</v>
      </c>
      <c r="GG24" s="64">
        <f t="shared" si="93"/>
        <v>0.12543258672973912</v>
      </c>
      <c r="GH24" s="64">
        <f t="shared" si="94"/>
        <v>3.8558393725490171E-2</v>
      </c>
      <c r="GI24" s="64">
        <f t="shared" si="95"/>
        <v>0.12513479318734788</v>
      </c>
      <c r="GJ24" s="64">
        <f t="shared" si="96"/>
        <v>5.3256772100567715E-2</v>
      </c>
      <c r="GK24" s="64">
        <f t="shared" si="97"/>
        <v>2.5697323600973213E-2</v>
      </c>
      <c r="GL24" s="64">
        <f t="shared" si="98"/>
        <v>1.7571428571428627E-2</v>
      </c>
      <c r="GM24" s="64">
        <f t="shared" si="99"/>
        <v>9.4615384615384258E-3</v>
      </c>
      <c r="GN24" s="64">
        <f t="shared" si="100"/>
        <v>3.2800000000000021E-3</v>
      </c>
      <c r="GO24" s="280">
        <f t="shared" si="101"/>
        <v>1.4694400000000005E-2</v>
      </c>
      <c r="GP24" s="64"/>
      <c r="GQ24" s="89">
        <v>2034</v>
      </c>
      <c r="GR24" s="278">
        <f t="shared" si="102"/>
        <v>1.0433333333333332</v>
      </c>
      <c r="GT24" s="278">
        <f t="shared" si="103"/>
        <v>0.65968917253282777</v>
      </c>
      <c r="GU24" s="278">
        <f t="shared" si="104"/>
        <v>0.05</v>
      </c>
      <c r="GV24" s="64">
        <f t="shared" si="105"/>
        <v>8.3621724486492771E-2</v>
      </c>
      <c r="GW24" s="64">
        <f t="shared" si="106"/>
        <v>5.0926180392156829E-2</v>
      </c>
      <c r="GX24" s="64">
        <f t="shared" si="107"/>
        <v>0.12513479318734788</v>
      </c>
      <c r="GY24" s="64">
        <f t="shared" si="108"/>
        <v>5.3256772100567715E-2</v>
      </c>
      <c r="GZ24" s="64">
        <f t="shared" si="109"/>
        <v>2.5697323600973213E-2</v>
      </c>
      <c r="HA24" s="64">
        <f t="shared" si="110"/>
        <v>1.7571428571428627E-2</v>
      </c>
      <c r="HB24" s="64">
        <f t="shared" si="111"/>
        <v>9.4615384615384258E-3</v>
      </c>
      <c r="HC24" s="64">
        <f t="shared" si="112"/>
        <v>3.2800000000000021E-3</v>
      </c>
      <c r="HD24" s="280">
        <f t="shared" si="113"/>
        <v>1.4694400000000005E-2</v>
      </c>
      <c r="HE24" s="64"/>
      <c r="HF24" s="89">
        <v>2034</v>
      </c>
      <c r="HG24" s="278">
        <f t="shared" si="114"/>
        <v>1.0433333333333332</v>
      </c>
      <c r="HI24" s="278">
        <f t="shared" si="115"/>
        <v>0.68913224810940754</v>
      </c>
      <c r="HJ24" s="278">
        <f t="shared" si="116"/>
        <v>0.05</v>
      </c>
      <c r="HK24" s="64">
        <f t="shared" si="117"/>
        <v>4.1810862243246365E-2</v>
      </c>
      <c r="HL24" s="64">
        <f t="shared" si="118"/>
        <v>6.3293967058823494E-2</v>
      </c>
      <c r="HM24" s="64">
        <f t="shared" si="119"/>
        <v>0.12513479318734788</v>
      </c>
      <c r="HN24" s="64">
        <f t="shared" si="120"/>
        <v>5.3256772100567715E-2</v>
      </c>
      <c r="HO24" s="64">
        <f t="shared" si="121"/>
        <v>2.5697323600973213E-2</v>
      </c>
      <c r="HP24" s="64">
        <f t="shared" si="122"/>
        <v>1.7571428571428627E-2</v>
      </c>
      <c r="HQ24" s="64">
        <f t="shared" si="123"/>
        <v>9.4615384615384258E-3</v>
      </c>
      <c r="HR24" s="64">
        <f t="shared" si="124"/>
        <v>3.2800000000000021E-3</v>
      </c>
      <c r="HS24" s="280">
        <f t="shared" si="125"/>
        <v>1.4694400000000005E-2</v>
      </c>
      <c r="HT24" s="64"/>
      <c r="HU24" s="89">
        <v>2034</v>
      </c>
      <c r="HV24" s="278">
        <f t="shared" si="126"/>
        <v>1.0433333333333332</v>
      </c>
      <c r="HX24" s="278">
        <f t="shared" si="127"/>
        <v>0.70349002746632483</v>
      </c>
      <c r="HY24" s="278">
        <f t="shared" si="128"/>
        <v>0.05</v>
      </c>
      <c r="HZ24" s="64">
        <f t="shared" si="129"/>
        <v>2.0905431121623168E-2</v>
      </c>
      <c r="IA24" s="64">
        <f t="shared" si="130"/>
        <v>6.9841618823529364E-2</v>
      </c>
      <c r="IB24" s="64">
        <f t="shared" si="131"/>
        <v>0.12513479318734788</v>
      </c>
      <c r="IC24" s="64">
        <f t="shared" si="132"/>
        <v>5.3256772100567715E-2</v>
      </c>
      <c r="ID24" s="64">
        <f t="shared" si="133"/>
        <v>2.5697323600973213E-2</v>
      </c>
      <c r="IE24" s="64">
        <f t="shared" si="134"/>
        <v>1.7571428571428627E-2</v>
      </c>
      <c r="IF24" s="64">
        <f t="shared" si="135"/>
        <v>9.4615384615384258E-3</v>
      </c>
      <c r="IG24" s="64">
        <f t="shared" si="136"/>
        <v>3.2800000000000021E-3</v>
      </c>
      <c r="IH24" s="280">
        <f t="shared" si="137"/>
        <v>1.4694400000000005E-2</v>
      </c>
      <c r="II24" s="64"/>
      <c r="IJ24" s="89">
        <v>2034</v>
      </c>
      <c r="IK24" s="278">
        <f t="shared" si="138"/>
        <v>1.0433333333333332</v>
      </c>
      <c r="IM24" s="278">
        <f t="shared" si="139"/>
        <v>0.71784780682324212</v>
      </c>
      <c r="IN24" s="278">
        <f t="shared" si="140"/>
        <v>0.05</v>
      </c>
      <c r="IO24" s="64">
        <v>0</v>
      </c>
      <c r="IP24" s="64">
        <f t="shared" si="141"/>
        <v>7.6389270588235247E-2</v>
      </c>
      <c r="IQ24" s="64">
        <f t="shared" si="142"/>
        <v>0.12513479318734788</v>
      </c>
      <c r="IR24" s="64">
        <f t="shared" si="143"/>
        <v>5.3256772100567715E-2</v>
      </c>
      <c r="IS24" s="64">
        <f t="shared" si="144"/>
        <v>2.5697323600973213E-2</v>
      </c>
      <c r="IT24" s="64">
        <f t="shared" si="145"/>
        <v>1.7571428571428627E-2</v>
      </c>
      <c r="IU24" s="64">
        <f t="shared" si="146"/>
        <v>9.4615384615384258E-3</v>
      </c>
      <c r="IV24" s="64">
        <f t="shared" si="147"/>
        <v>3.2800000000000021E-3</v>
      </c>
      <c r="IW24" s="280">
        <f t="shared" si="148"/>
        <v>1.4694400000000005E-2</v>
      </c>
      <c r="IX24" s="64"/>
      <c r="IY24" s="3">
        <f t="shared" si="149"/>
        <v>0.37999999999999901</v>
      </c>
      <c r="IZ24">
        <f t="shared" si="34"/>
        <v>2034</v>
      </c>
      <c r="JA24" s="3">
        <f t="shared" si="150"/>
        <v>12.670484779932485</v>
      </c>
      <c r="JB24" s="353">
        <f>HLOOKUP('1 StrategyMix for CarbonTargets'!$V$46,'Stress calculations'!JI$8:JU$39,17,FALSE)</f>
        <v>12.643510158218167</v>
      </c>
      <c r="JC24" s="3">
        <f t="shared" si="151"/>
        <v>14.95</v>
      </c>
      <c r="JD24" s="353">
        <f t="shared" si="152"/>
        <v>15.736842105263158</v>
      </c>
      <c r="JE24" s="418">
        <f t="shared" si="35"/>
        <v>0.37999999999999978</v>
      </c>
      <c r="JF24" s="368">
        <f t="shared" si="153"/>
        <v>9.324999999999994</v>
      </c>
      <c r="JG24" s="369">
        <f t="shared" si="154"/>
        <v>9.8157894736842053</v>
      </c>
      <c r="JH24" s="363">
        <f t="shared" si="155"/>
        <v>11.845391334632978</v>
      </c>
      <c r="JI24" s="362">
        <f t="shared" si="36"/>
        <v>12.468832983824189</v>
      </c>
      <c r="JJ24" s="366">
        <f t="shared" si="37"/>
        <v>12.011334650307258</v>
      </c>
      <c r="JK24" s="367">
        <f t="shared" si="8"/>
        <v>12.643510158218167</v>
      </c>
      <c r="JL24" s="363">
        <f t="shared" si="38"/>
        <v>12.177277965981538</v>
      </c>
      <c r="JM24" s="362">
        <f t="shared" si="39"/>
        <v>12.818187332612146</v>
      </c>
      <c r="JN24" s="366">
        <f t="shared" si="156"/>
        <v>12.343221281655817</v>
      </c>
      <c r="JO24" s="367">
        <f t="shared" si="40"/>
        <v>12.992864507006123</v>
      </c>
      <c r="JP24" s="363">
        <f t="shared" si="157"/>
        <v>12.509164597330102</v>
      </c>
      <c r="JQ24" s="362">
        <f t="shared" si="41"/>
        <v>13.167541681400108</v>
      </c>
      <c r="JR24" s="366">
        <f t="shared" si="158"/>
        <v>12.589824688631291</v>
      </c>
      <c r="JS24" s="367">
        <f t="shared" si="42"/>
        <v>13.252447040664517</v>
      </c>
      <c r="JT24" s="363">
        <f t="shared" si="159"/>
        <v>12.670484779932485</v>
      </c>
      <c r="JU24" s="362">
        <f t="shared" si="43"/>
        <v>13.337352399928932</v>
      </c>
    </row>
    <row r="25" spans="1:283">
      <c r="A25" s="259">
        <f>'1 StrategyMix for CarbonTargets'!V25</f>
        <v>0.3</v>
      </c>
      <c r="B25" s="247"/>
      <c r="C25" s="247"/>
      <c r="D25" s="247"/>
      <c r="E25" s="293"/>
      <c r="F25" s="293"/>
      <c r="G25" s="293"/>
      <c r="H25" s="297" cm="1">
        <f t="array" ref="H25">INDEX(Localise!I9:I53,MATCH(1,(A9=Localise!A9:A53)*(A25=Localise!B9:B53),0))</f>
        <v>5.3999999999999999E-2</v>
      </c>
      <c r="I25" s="298" cm="1">
        <f t="array" ref="I25">INDEX(Localise!H9:H53,MATCH(1,(A9=Localise!A9:A53)*(A25=Localise!B9:B53),0))</f>
        <v>6.0750000000000005E-2</v>
      </c>
      <c r="J25" s="299" cm="1">
        <f t="array" ref="J25">INDEX(Localise!G9:G53,MATCH(1,(A9=Localise!A9:A53)*(A25=Localise!B9:B53),0))</f>
        <v>6.7500000000000004E-2</v>
      </c>
      <c r="K25" s="5"/>
      <c r="AO25" s="89">
        <v>2035</v>
      </c>
      <c r="AP25" s="170">
        <f t="shared" si="160"/>
        <v>-1.4400000000000005E-2</v>
      </c>
      <c r="AQ25" s="170">
        <f t="shared" si="160"/>
        <v>-3.2500000000000016E-3</v>
      </c>
      <c r="AR25" s="170">
        <f t="shared" si="160"/>
        <v>-9.5192307692307677E-3</v>
      </c>
      <c r="AS25" s="170">
        <f t="shared" si="160"/>
        <v>-1.9285714285714288E-2</v>
      </c>
      <c r="AU25" s="170">
        <f t="shared" si="161"/>
        <v>-2.5182481751824817E-2</v>
      </c>
      <c r="AV25" s="170">
        <f t="shared" si="162"/>
        <v>-5.2189781021897808E-2</v>
      </c>
      <c r="AW25" s="170">
        <f t="shared" si="163"/>
        <v>-0.12262773722627734</v>
      </c>
      <c r="AY25" s="170">
        <f t="shared" si="164"/>
        <v>-7.4858823529411742E-2</v>
      </c>
      <c r="AZ25" s="278">
        <f t="shared" si="165"/>
        <v>6.48776470588235E-3</v>
      </c>
      <c r="BA25" s="284">
        <f t="shared" si="166"/>
        <v>-2.9313326608695629E-2</v>
      </c>
      <c r="BB25" s="276">
        <f t="shared" si="167"/>
        <v>-2.8018430492753609E-2</v>
      </c>
      <c r="BC25" s="277">
        <f t="shared" si="168"/>
        <v>-2.1170735884057955E-2</v>
      </c>
      <c r="BD25" s="278">
        <f t="shared" si="169"/>
        <v>6.48776470588235E-3</v>
      </c>
      <c r="BE25" s="284">
        <f t="shared" si="170"/>
        <v>-2.9313326608695671E-2</v>
      </c>
      <c r="BF25" s="276">
        <f t="shared" si="171"/>
        <v>-2.8018430492753609E-2</v>
      </c>
      <c r="BG25" s="277">
        <f t="shared" si="9"/>
        <v>-2.1170735884057986E-2</v>
      </c>
      <c r="BH25" s="278">
        <f t="shared" si="172"/>
        <v>1.2254666666666662E-2</v>
      </c>
      <c r="BI25" s="284">
        <f t="shared" si="173"/>
        <v>-5.8626653217391328E-2</v>
      </c>
      <c r="BJ25" s="276">
        <f t="shared" si="174"/>
        <v>-5.6036860985507309E-2</v>
      </c>
      <c r="BK25" s="277">
        <f t="shared" si="10"/>
        <v>-4.2341471768115965E-2</v>
      </c>
      <c r="BL25" s="278">
        <f t="shared" si="175"/>
        <v>1.2254666666666662E-2</v>
      </c>
      <c r="BM25" s="284">
        <f t="shared" si="176"/>
        <v>-5.8626653217391286E-2</v>
      </c>
      <c r="BN25" s="276">
        <f t="shared" si="177"/>
        <v>-5.6036860985507204E-2</v>
      </c>
      <c r="BO25" s="277">
        <f t="shared" si="11"/>
        <v>-4.2341471768115937E-2</v>
      </c>
      <c r="BP25" s="278">
        <f t="shared" si="178"/>
        <v>1.2254666666666662E-2</v>
      </c>
      <c r="BQ25" s="284">
        <f t="shared" si="179"/>
        <v>-5.8626653217391342E-2</v>
      </c>
      <c r="BR25" s="276">
        <f t="shared" si="180"/>
        <v>-5.6036860985507253E-2</v>
      </c>
      <c r="BS25" s="277">
        <f t="shared" si="12"/>
        <v>-4.2341471768115951E-2</v>
      </c>
      <c r="BT25" s="278">
        <f t="shared" si="181"/>
        <v>1.2254666666666662E-2</v>
      </c>
      <c r="BU25" s="284">
        <f t="shared" si="182"/>
        <v>-5.8626653217391286E-2</v>
      </c>
      <c r="BV25" s="276">
        <f t="shared" si="183"/>
        <v>-5.6036860985507232E-2</v>
      </c>
      <c r="BW25" s="278">
        <f t="shared" si="13"/>
        <v>-4.2341471768115931E-2</v>
      </c>
      <c r="BX25" s="391">
        <f t="shared" si="44"/>
        <v>-2.5119294117647052E-2</v>
      </c>
      <c r="BY25" s="388">
        <f t="shared" si="45"/>
        <v>-0.16936588707246378</v>
      </c>
      <c r="BZ25" s="409">
        <f t="shared" si="184"/>
        <v>0.57777777777777772</v>
      </c>
      <c r="CB25" s="279">
        <f t="shared" si="185"/>
        <v>-0.32131376858435678</v>
      </c>
      <c r="CC25" s="64">
        <f t="shared" si="15"/>
        <v>-0.33599673976253236</v>
      </c>
      <c r="CD25" s="64">
        <f t="shared" si="16"/>
        <v>-0.35067971094070799</v>
      </c>
      <c r="CE25" s="64">
        <f t="shared" si="17"/>
        <v>-0.38076651604215733</v>
      </c>
      <c r="CF25" s="64">
        <f t="shared" si="18"/>
        <v>-0.41085332114360662</v>
      </c>
      <c r="CG25" s="64">
        <f t="shared" si="19"/>
        <v>-0.44094012624505596</v>
      </c>
      <c r="CH25" s="64">
        <f t="shared" si="20"/>
        <v>-0.47102693134650525</v>
      </c>
      <c r="CI25">
        <v>2035</v>
      </c>
      <c r="CJ25" s="240"/>
      <c r="CL25">
        <v>2035</v>
      </c>
      <c r="CM25" s="3">
        <f t="shared" si="46"/>
        <v>0.95</v>
      </c>
      <c r="CN25" s="64">
        <f t="shared" si="21"/>
        <v>0.93559999999999999</v>
      </c>
      <c r="CO25" s="64">
        <f t="shared" si="21"/>
        <v>0.93235000000000001</v>
      </c>
      <c r="CP25" s="64">
        <f t="shared" si="21"/>
        <v>0.92283076923076923</v>
      </c>
      <c r="CQ25" s="64">
        <f t="shared" si="21"/>
        <v>0.90354505494505499</v>
      </c>
      <c r="CR25" s="64">
        <f t="shared" si="22"/>
        <v>0.87836257319323019</v>
      </c>
      <c r="CS25" s="64">
        <f t="shared" si="22"/>
        <v>0.82617279217133244</v>
      </c>
      <c r="CT25" s="64">
        <f t="shared" si="22"/>
        <v>0.70354505494505504</v>
      </c>
      <c r="CU25" s="64">
        <f t="shared" si="23"/>
        <v>0.62868623141564328</v>
      </c>
      <c r="CV25" s="64">
        <f t="shared" si="23"/>
        <v>0.63517399612152559</v>
      </c>
      <c r="CW25" s="65">
        <f t="shared" si="47"/>
        <v>0.61400326023746765</v>
      </c>
      <c r="CX25" s="64">
        <f t="shared" si="48"/>
        <v>0.64166176082740789</v>
      </c>
      <c r="CY25" s="65">
        <f t="shared" si="49"/>
        <v>0.59932028905929202</v>
      </c>
      <c r="CZ25" s="64">
        <f t="shared" si="50"/>
        <v>0.65391642749407453</v>
      </c>
      <c r="DA25" s="65">
        <f t="shared" si="51"/>
        <v>0.56923348395784268</v>
      </c>
      <c r="DB25" s="64">
        <f t="shared" si="52"/>
        <v>0.66617109416074116</v>
      </c>
      <c r="DC25" s="65">
        <f t="shared" si="53"/>
        <v>0.53914667885639334</v>
      </c>
      <c r="DD25" s="64">
        <f t="shared" si="54"/>
        <v>0.6784257608274078</v>
      </c>
      <c r="DE25" s="65">
        <f t="shared" si="55"/>
        <v>0.50905987375494399</v>
      </c>
      <c r="DF25" s="64">
        <f t="shared" si="56"/>
        <v>0.69068042749407443</v>
      </c>
      <c r="DG25" s="65">
        <f t="shared" si="57"/>
        <v>0.4789730686534947</v>
      </c>
      <c r="DL25">
        <v>2035</v>
      </c>
      <c r="DM25" s="64">
        <f t="shared" si="58"/>
        <v>0.4789730686534947</v>
      </c>
      <c r="DN25" s="64">
        <f t="shared" si="59"/>
        <v>0.50905987375494399</v>
      </c>
      <c r="DO25" s="64">
        <f t="shared" si="60"/>
        <v>0.53914667885639334</v>
      </c>
      <c r="DP25" s="64">
        <f t="shared" si="61"/>
        <v>0.56923348395784268</v>
      </c>
      <c r="DQ25" s="64">
        <f t="shared" si="62"/>
        <v>0.59932028905929202</v>
      </c>
      <c r="DR25" s="64">
        <f t="shared" si="63"/>
        <v>0.61400326023746765</v>
      </c>
      <c r="DS25" s="64">
        <f t="shared" si="24"/>
        <v>0.62868623141564328</v>
      </c>
      <c r="DT25" s="64">
        <f t="shared" si="25"/>
        <v>0.70354505494505504</v>
      </c>
      <c r="DU25" s="64">
        <f t="shared" si="26"/>
        <v>0.82617279217133244</v>
      </c>
      <c r="DV25" s="64">
        <f t="shared" si="27"/>
        <v>0.87836257319323019</v>
      </c>
      <c r="DW25" s="64">
        <f t="shared" si="28"/>
        <v>0.90354505494505499</v>
      </c>
      <c r="DX25" s="64">
        <f t="shared" si="29"/>
        <v>0.92283076923076923</v>
      </c>
      <c r="DY25" s="64">
        <f t="shared" si="30"/>
        <v>0.93235000000000001</v>
      </c>
      <c r="DZ25" s="64">
        <f t="shared" si="31"/>
        <v>0.93559999999999999</v>
      </c>
      <c r="EA25" s="3">
        <f t="shared" si="64"/>
        <v>0.95</v>
      </c>
      <c r="EB25">
        <v>2035</v>
      </c>
      <c r="EC25" s="269">
        <f t="shared" si="65"/>
        <v>0.47897306865349476</v>
      </c>
      <c r="ED25" s="269">
        <f t="shared" si="66"/>
        <v>0.05</v>
      </c>
      <c r="EE25" s="64">
        <f t="shared" si="32"/>
        <v>3.0086805101449288E-2</v>
      </c>
      <c r="EF25" s="64">
        <f t="shared" si="32"/>
        <v>3.0086805101449343E-2</v>
      </c>
      <c r="EG25" s="64">
        <f t="shared" si="32"/>
        <v>3.0086805101449343E-2</v>
      </c>
      <c r="EH25" s="64">
        <f t="shared" si="32"/>
        <v>3.0086805101449343E-2</v>
      </c>
      <c r="EI25" s="64">
        <f t="shared" si="32"/>
        <v>1.468297117817563E-2</v>
      </c>
      <c r="EJ25" s="64">
        <f t="shared" si="32"/>
        <v>1.468297117817563E-2</v>
      </c>
      <c r="EK25" s="64">
        <f t="shared" si="32"/>
        <v>7.4858823529411755E-2</v>
      </c>
      <c r="EL25" s="64">
        <f t="shared" si="32"/>
        <v>0.1226277372262774</v>
      </c>
      <c r="EM25" s="64">
        <f t="shared" si="32"/>
        <v>5.2189781021897752E-2</v>
      </c>
      <c r="EN25" s="64">
        <f t="shared" si="32"/>
        <v>2.5182481751824803E-2</v>
      </c>
      <c r="EO25" s="64">
        <f t="shared" si="32"/>
        <v>1.9285714285714239E-2</v>
      </c>
      <c r="EP25" s="64">
        <f t="shared" si="32"/>
        <v>9.5192307692307798E-3</v>
      </c>
      <c r="EQ25" s="64">
        <f t="shared" si="32"/>
        <v>3.2499999999999751E-3</v>
      </c>
      <c r="ER25" s="64">
        <f t="shared" si="32"/>
        <v>1.4399999999999968E-2</v>
      </c>
      <c r="EX25" s="89">
        <v>2035</v>
      </c>
      <c r="EY25" s="278">
        <f t="shared" si="67"/>
        <v>1.05</v>
      </c>
      <c r="EZ25" s="278"/>
      <c r="FA25" s="278">
        <f t="shared" si="68"/>
        <v>0.53187037551884464</v>
      </c>
      <c r="FB25" s="278">
        <f t="shared" si="33"/>
        <v>0.05</v>
      </c>
      <c r="FC25" s="64">
        <f t="shared" si="69"/>
        <v>0.23287809472463764</v>
      </c>
      <c r="FD25" s="64">
        <f t="shared" si="70"/>
        <v>1.4151090196078428E-2</v>
      </c>
      <c r="FE25" s="64">
        <f t="shared" si="71"/>
        <v>0.13489051094890511</v>
      </c>
      <c r="FF25" s="64">
        <f t="shared" si="72"/>
        <v>5.7408759124087522E-2</v>
      </c>
      <c r="FG25" s="64">
        <f t="shared" si="73"/>
        <v>2.770072992700728E-2</v>
      </c>
      <c r="FH25" s="64">
        <f t="shared" si="74"/>
        <v>2.1214285714285661E-2</v>
      </c>
      <c r="FI25" s="64">
        <f t="shared" si="75"/>
        <v>1.0471153846153856E-2</v>
      </c>
      <c r="FJ25" s="64">
        <f t="shared" si="76"/>
        <v>3.5749999999999723E-3</v>
      </c>
      <c r="FK25" s="280">
        <f t="shared" si="77"/>
        <v>1.5839999999999962E-2</v>
      </c>
      <c r="FL25" s="64"/>
      <c r="FM25" s="89">
        <v>2035</v>
      </c>
      <c r="FN25" s="278">
        <f t="shared" si="78"/>
        <v>1.05</v>
      </c>
      <c r="FP25" s="278">
        <f t="shared" si="79"/>
        <v>0.56496586113043867</v>
      </c>
      <c r="FQ25" s="278">
        <f t="shared" si="80"/>
        <v>0.05</v>
      </c>
      <c r="FR25" s="64">
        <f t="shared" si="81"/>
        <v>0.18630247577971012</v>
      </c>
      <c r="FS25" s="64">
        <f t="shared" si="82"/>
        <v>2.7631223529411754E-2</v>
      </c>
      <c r="FT25" s="64">
        <f t="shared" si="83"/>
        <v>0.13489051094890511</v>
      </c>
      <c r="FU25" s="64">
        <f t="shared" si="84"/>
        <v>5.7408759124087522E-2</v>
      </c>
      <c r="FV25" s="64">
        <f t="shared" si="85"/>
        <v>2.770072992700728E-2</v>
      </c>
      <c r="FW25" s="64">
        <f t="shared" si="86"/>
        <v>2.1214285714285661E-2</v>
      </c>
      <c r="FX25" s="64">
        <f t="shared" si="87"/>
        <v>1.0471153846153856E-2</v>
      </c>
      <c r="FY25" s="64">
        <f t="shared" si="88"/>
        <v>3.5749999999999723E-3</v>
      </c>
      <c r="FZ25" s="280">
        <f t="shared" si="89"/>
        <v>1.5839999999999962E-2</v>
      </c>
      <c r="GA25" s="64"/>
      <c r="GB25" s="89">
        <v>2035</v>
      </c>
      <c r="GC25" s="278">
        <f t="shared" si="90"/>
        <v>1.05</v>
      </c>
      <c r="GE25" s="278">
        <f t="shared" si="91"/>
        <v>0.59806134674203304</v>
      </c>
      <c r="GF25" s="278">
        <f t="shared" si="92"/>
        <v>0.05</v>
      </c>
      <c r="GG25" s="64">
        <f t="shared" si="93"/>
        <v>0.13972685683478259</v>
      </c>
      <c r="GH25" s="64">
        <f t="shared" si="94"/>
        <v>4.1111356862745085E-2</v>
      </c>
      <c r="GI25" s="64">
        <f t="shared" si="95"/>
        <v>0.13489051094890511</v>
      </c>
      <c r="GJ25" s="64">
        <f t="shared" si="96"/>
        <v>5.7408759124087522E-2</v>
      </c>
      <c r="GK25" s="64">
        <f t="shared" si="97"/>
        <v>2.770072992700728E-2</v>
      </c>
      <c r="GL25" s="64">
        <f t="shared" si="98"/>
        <v>2.1214285714285661E-2</v>
      </c>
      <c r="GM25" s="64">
        <f t="shared" si="99"/>
        <v>1.0471153846153856E-2</v>
      </c>
      <c r="GN25" s="64">
        <f t="shared" si="100"/>
        <v>3.5749999999999723E-3</v>
      </c>
      <c r="GO25" s="280">
        <f t="shared" si="101"/>
        <v>1.5839999999999962E-2</v>
      </c>
      <c r="GP25" s="64"/>
      <c r="GQ25" s="89">
        <v>2035</v>
      </c>
      <c r="GR25" s="278">
        <f t="shared" si="102"/>
        <v>1.05</v>
      </c>
      <c r="GT25" s="278">
        <f t="shared" si="103"/>
        <v>0.63115683235362718</v>
      </c>
      <c r="GU25" s="278">
        <f t="shared" si="104"/>
        <v>0.05</v>
      </c>
      <c r="GV25" s="64">
        <f t="shared" si="105"/>
        <v>9.3151237889855076E-2</v>
      </c>
      <c r="GW25" s="64">
        <f t="shared" si="106"/>
        <v>5.459149019607841E-2</v>
      </c>
      <c r="GX25" s="64">
        <f t="shared" si="107"/>
        <v>0.13489051094890511</v>
      </c>
      <c r="GY25" s="64">
        <f t="shared" si="108"/>
        <v>5.7408759124087522E-2</v>
      </c>
      <c r="GZ25" s="64">
        <f t="shared" si="109"/>
        <v>2.770072992700728E-2</v>
      </c>
      <c r="HA25" s="64">
        <f t="shared" si="110"/>
        <v>2.1214285714285661E-2</v>
      </c>
      <c r="HB25" s="64">
        <f t="shared" si="111"/>
        <v>1.0471153846153856E-2</v>
      </c>
      <c r="HC25" s="64">
        <f t="shared" si="112"/>
        <v>3.5749999999999723E-3</v>
      </c>
      <c r="HD25" s="280">
        <f t="shared" si="113"/>
        <v>1.5839999999999962E-2</v>
      </c>
      <c r="HE25" s="64"/>
      <c r="HF25" s="89">
        <v>2035</v>
      </c>
      <c r="HG25" s="278">
        <f t="shared" si="114"/>
        <v>1.05</v>
      </c>
      <c r="HI25" s="278">
        <f t="shared" si="115"/>
        <v>0.66425231796522133</v>
      </c>
      <c r="HJ25" s="278">
        <f t="shared" si="116"/>
        <v>0.05</v>
      </c>
      <c r="HK25" s="64">
        <f t="shared" si="117"/>
        <v>4.6575618944927524E-2</v>
      </c>
      <c r="HL25" s="64">
        <f t="shared" si="118"/>
        <v>6.8071623529411734E-2</v>
      </c>
      <c r="HM25" s="64">
        <f t="shared" si="119"/>
        <v>0.13489051094890511</v>
      </c>
      <c r="HN25" s="64">
        <f t="shared" si="120"/>
        <v>5.7408759124087522E-2</v>
      </c>
      <c r="HO25" s="64">
        <f t="shared" si="121"/>
        <v>2.770072992700728E-2</v>
      </c>
      <c r="HP25" s="64">
        <f t="shared" si="122"/>
        <v>2.1214285714285661E-2</v>
      </c>
      <c r="HQ25" s="64">
        <f t="shared" si="123"/>
        <v>1.0471153846153856E-2</v>
      </c>
      <c r="HR25" s="64">
        <f t="shared" si="124"/>
        <v>3.5749999999999723E-3</v>
      </c>
      <c r="HS25" s="280">
        <f t="shared" si="125"/>
        <v>1.5839999999999962E-2</v>
      </c>
      <c r="HT25" s="64"/>
      <c r="HU25" s="89">
        <v>2035</v>
      </c>
      <c r="HV25" s="278">
        <f t="shared" si="126"/>
        <v>1.05</v>
      </c>
      <c r="HX25" s="278">
        <f t="shared" si="127"/>
        <v>0.68040358626121455</v>
      </c>
      <c r="HY25" s="278">
        <f t="shared" si="128"/>
        <v>0.05</v>
      </c>
      <c r="HZ25" s="64">
        <f t="shared" si="129"/>
        <v>2.3287809472463748E-2</v>
      </c>
      <c r="IA25" s="64">
        <f t="shared" si="130"/>
        <v>7.5208164705882333E-2</v>
      </c>
      <c r="IB25" s="64">
        <f t="shared" si="131"/>
        <v>0.13489051094890511</v>
      </c>
      <c r="IC25" s="64">
        <f t="shared" si="132"/>
        <v>5.7408759124087522E-2</v>
      </c>
      <c r="ID25" s="64">
        <f t="shared" si="133"/>
        <v>2.770072992700728E-2</v>
      </c>
      <c r="IE25" s="64">
        <f t="shared" si="134"/>
        <v>2.1214285714285661E-2</v>
      </c>
      <c r="IF25" s="64">
        <f t="shared" si="135"/>
        <v>1.0471153846153856E-2</v>
      </c>
      <c r="IG25" s="64">
        <f t="shared" si="136"/>
        <v>3.5749999999999723E-3</v>
      </c>
      <c r="IH25" s="280">
        <f t="shared" si="137"/>
        <v>1.5839999999999962E-2</v>
      </c>
      <c r="II25" s="64"/>
      <c r="IJ25" s="89">
        <v>2035</v>
      </c>
      <c r="IK25" s="278">
        <f t="shared" si="138"/>
        <v>1.05</v>
      </c>
      <c r="IM25" s="278">
        <f t="shared" si="139"/>
        <v>0.69655485455720778</v>
      </c>
      <c r="IN25" s="278">
        <f t="shared" si="140"/>
        <v>0.05</v>
      </c>
      <c r="IO25" s="64">
        <v>0</v>
      </c>
      <c r="IP25" s="64">
        <f t="shared" si="141"/>
        <v>8.2344705882352903E-2</v>
      </c>
      <c r="IQ25" s="64">
        <f t="shared" si="142"/>
        <v>0.13489051094890511</v>
      </c>
      <c r="IR25" s="64">
        <f t="shared" si="143"/>
        <v>5.7408759124087522E-2</v>
      </c>
      <c r="IS25" s="64">
        <f t="shared" si="144"/>
        <v>2.770072992700728E-2</v>
      </c>
      <c r="IT25" s="64">
        <f t="shared" si="145"/>
        <v>2.1214285714285661E-2</v>
      </c>
      <c r="IU25" s="64">
        <f t="shared" si="146"/>
        <v>1.0471153846153856E-2</v>
      </c>
      <c r="IV25" s="64">
        <f t="shared" si="147"/>
        <v>3.5749999999999723E-3</v>
      </c>
      <c r="IW25" s="280">
        <f t="shared" si="148"/>
        <v>1.5839999999999962E-2</v>
      </c>
      <c r="IX25" s="64"/>
      <c r="IY25" s="3">
        <f t="shared" si="149"/>
        <v>0.36249999999999893</v>
      </c>
      <c r="IZ25">
        <f t="shared" si="34"/>
        <v>2035</v>
      </c>
      <c r="JA25" s="3">
        <f t="shared" si="150"/>
        <v>13.367039634489693</v>
      </c>
      <c r="JB25" s="353">
        <f>HLOOKUP('1 StrategyMix for CarbonTargets'!$V$46,'Stress calculations'!JI$8:JU$39,18,FALSE)</f>
        <v>13.238211064671262</v>
      </c>
      <c r="JC25" s="3">
        <f t="shared" si="151"/>
        <v>16</v>
      </c>
      <c r="JD25" s="353">
        <f t="shared" si="152"/>
        <v>16.842105263157894</v>
      </c>
      <c r="JE25" s="418">
        <f t="shared" si="35"/>
        <v>0.36249999999999982</v>
      </c>
      <c r="JF25" s="368">
        <f t="shared" si="153"/>
        <v>9.6874999999999929</v>
      </c>
      <c r="JG25" s="369">
        <f t="shared" si="154"/>
        <v>10.197368421052625</v>
      </c>
      <c r="JH25" s="363">
        <f t="shared" si="155"/>
        <v>12.377261710151823</v>
      </c>
      <c r="JI25" s="362">
        <f t="shared" si="36"/>
        <v>13.028696537001919</v>
      </c>
      <c r="JJ25" s="366">
        <f t="shared" si="37"/>
        <v>12.576300511437697</v>
      </c>
      <c r="JK25" s="367">
        <f t="shared" si="8"/>
        <v>13.238211064671262</v>
      </c>
      <c r="JL25" s="363">
        <f t="shared" si="38"/>
        <v>12.775339312723572</v>
      </c>
      <c r="JM25" s="362">
        <f t="shared" si="39"/>
        <v>13.447725592340603</v>
      </c>
      <c r="JN25" s="366">
        <f t="shared" si="156"/>
        <v>12.974378114009443</v>
      </c>
      <c r="JO25" s="367">
        <f t="shared" si="40"/>
        <v>13.657240120009941</v>
      </c>
      <c r="JP25" s="363">
        <f t="shared" si="157"/>
        <v>13.173416915295324</v>
      </c>
      <c r="JQ25" s="362">
        <f t="shared" si="41"/>
        <v>13.866754647679288</v>
      </c>
      <c r="JR25" s="366">
        <f t="shared" si="158"/>
        <v>13.270228274892505</v>
      </c>
      <c r="JS25" s="367">
        <f t="shared" si="42"/>
        <v>13.96866134199211</v>
      </c>
      <c r="JT25" s="363">
        <f t="shared" si="159"/>
        <v>13.367039634489693</v>
      </c>
      <c r="JU25" s="362">
        <f t="shared" si="43"/>
        <v>14.070568036304941</v>
      </c>
    </row>
    <row r="26" spans="1:283">
      <c r="A26" s="247"/>
      <c r="B26" s="247"/>
      <c r="C26" s="247"/>
      <c r="D26" s="247"/>
      <c r="E26" s="247"/>
      <c r="F26" s="247"/>
      <c r="H26" s="300"/>
      <c r="J26" s="301"/>
      <c r="AO26" s="89">
        <v>2036</v>
      </c>
      <c r="AP26" s="170">
        <f t="shared" si="160"/>
        <v>-1.5360000000000006E-2</v>
      </c>
      <c r="AQ26" s="170">
        <f t="shared" si="160"/>
        <v>-3.5000000000000018E-3</v>
      </c>
      <c r="AR26" s="170">
        <f t="shared" si="160"/>
        <v>-1.0384615384615383E-2</v>
      </c>
      <c r="AS26" s="170">
        <f t="shared" si="160"/>
        <v>-2.2500000000000003E-2</v>
      </c>
      <c r="AU26" s="170">
        <f t="shared" si="161"/>
        <v>-2.6861313868613138E-2</v>
      </c>
      <c r="AV26" s="170">
        <f t="shared" si="162"/>
        <v>-5.5669099756690994E-2</v>
      </c>
      <c r="AW26" s="170">
        <f t="shared" si="163"/>
        <v>-0.13080291970802918</v>
      </c>
      <c r="AY26" s="170">
        <f t="shared" si="164"/>
        <v>-7.9849411764705863E-2</v>
      </c>
      <c r="AZ26" s="278">
        <f t="shared" si="165"/>
        <v>6.9868235294117615E-3</v>
      </c>
      <c r="BA26" s="284">
        <f t="shared" si="166"/>
        <v>-2.9945421495652151E-2</v>
      </c>
      <c r="BB26" s="276">
        <f t="shared" si="167"/>
        <v>-3.0173694376811579E-2</v>
      </c>
      <c r="BC26" s="277">
        <f t="shared" si="168"/>
        <v>-2.3290883385507229E-2</v>
      </c>
      <c r="BD26" s="278">
        <f t="shared" si="169"/>
        <v>6.9868235294117615E-3</v>
      </c>
      <c r="BE26" s="284">
        <f t="shared" si="170"/>
        <v>-2.9945421495652193E-2</v>
      </c>
      <c r="BF26" s="276">
        <f t="shared" si="171"/>
        <v>-3.0173694376811579E-2</v>
      </c>
      <c r="BG26" s="277">
        <f t="shared" si="9"/>
        <v>-2.3290883385507263E-2</v>
      </c>
      <c r="BH26" s="278">
        <f t="shared" si="172"/>
        <v>1.3197333333333328E-2</v>
      </c>
      <c r="BI26" s="284">
        <f t="shared" si="173"/>
        <v>-5.9890842991304372E-2</v>
      </c>
      <c r="BJ26" s="276">
        <f t="shared" si="174"/>
        <v>-6.0347388753623256E-2</v>
      </c>
      <c r="BK26" s="277">
        <f t="shared" si="10"/>
        <v>-4.658176677101452E-2</v>
      </c>
      <c r="BL26" s="278">
        <f t="shared" si="175"/>
        <v>1.3197333333333328E-2</v>
      </c>
      <c r="BM26" s="284">
        <f t="shared" si="176"/>
        <v>-5.989084299130433E-2</v>
      </c>
      <c r="BN26" s="276">
        <f t="shared" si="177"/>
        <v>-6.0347388753623145E-2</v>
      </c>
      <c r="BO26" s="277">
        <f t="shared" si="11"/>
        <v>-4.6581766771014492E-2</v>
      </c>
      <c r="BP26" s="278">
        <f t="shared" si="178"/>
        <v>1.3197333333333328E-2</v>
      </c>
      <c r="BQ26" s="284">
        <f t="shared" si="179"/>
        <v>-5.9890842991304385E-2</v>
      </c>
      <c r="BR26" s="276">
        <f t="shared" si="180"/>
        <v>-6.0347388753623193E-2</v>
      </c>
      <c r="BS26" s="277">
        <f t="shared" si="12"/>
        <v>-4.6581766771014499E-2</v>
      </c>
      <c r="BT26" s="278">
        <f t="shared" si="181"/>
        <v>1.3197333333333328E-2</v>
      </c>
      <c r="BU26" s="284">
        <f t="shared" si="182"/>
        <v>-5.989084299130433E-2</v>
      </c>
      <c r="BV26" s="276">
        <f t="shared" si="183"/>
        <v>-6.0347388753623173E-2</v>
      </c>
      <c r="BW26" s="278">
        <f t="shared" si="13"/>
        <v>-4.6581766771014478E-2</v>
      </c>
      <c r="BX26" s="391">
        <f t="shared" si="44"/>
        <v>-2.628376470588235E-2</v>
      </c>
      <c r="BY26" s="388">
        <f t="shared" si="45"/>
        <v>-0.186327067084058</v>
      </c>
      <c r="BZ26" s="409">
        <f t="shared" si="184"/>
        <v>0.62222222222222212</v>
      </c>
      <c r="CB26" s="279">
        <f t="shared" si="185"/>
        <v>-0.3449273604826546</v>
      </c>
      <c r="CC26" s="64">
        <f t="shared" si="15"/>
        <v>-0.36123142033875005</v>
      </c>
      <c r="CD26" s="64">
        <f t="shared" si="16"/>
        <v>-0.37753548019484556</v>
      </c>
      <c r="CE26" s="64">
        <f t="shared" si="17"/>
        <v>-0.41091991363252672</v>
      </c>
      <c r="CF26" s="64">
        <f t="shared" si="18"/>
        <v>-0.44430434707020788</v>
      </c>
      <c r="CG26" s="64">
        <f t="shared" si="19"/>
        <v>-0.47768878050788904</v>
      </c>
      <c r="CH26" s="64">
        <f t="shared" si="20"/>
        <v>-0.51107321394557015</v>
      </c>
      <c r="CI26">
        <v>2036</v>
      </c>
      <c r="CJ26" s="240"/>
      <c r="CL26">
        <v>2036</v>
      </c>
      <c r="CM26" s="3">
        <f t="shared" si="46"/>
        <v>0.95</v>
      </c>
      <c r="CN26" s="64">
        <f t="shared" si="21"/>
        <v>0.93463999999999992</v>
      </c>
      <c r="CO26" s="64">
        <f t="shared" si="21"/>
        <v>0.93113999999999997</v>
      </c>
      <c r="CP26" s="64">
        <f t="shared" si="21"/>
        <v>0.92075538461538453</v>
      </c>
      <c r="CQ26" s="64">
        <f t="shared" si="21"/>
        <v>0.89825538461538457</v>
      </c>
      <c r="CR26" s="64">
        <f t="shared" si="22"/>
        <v>0.87139407074677144</v>
      </c>
      <c r="CS26" s="64">
        <f t="shared" si="22"/>
        <v>0.81572497099008046</v>
      </c>
      <c r="CT26" s="64">
        <f t="shared" si="22"/>
        <v>0.6849220512820513</v>
      </c>
      <c r="CU26" s="64">
        <f t="shared" si="23"/>
        <v>0.60507263951734547</v>
      </c>
      <c r="CV26" s="64">
        <f t="shared" si="23"/>
        <v>0.61205946304675718</v>
      </c>
      <c r="CW26" s="65">
        <f t="shared" si="47"/>
        <v>0.58876857966124996</v>
      </c>
      <c r="CX26" s="64">
        <f t="shared" si="48"/>
        <v>0.61904628657616889</v>
      </c>
      <c r="CY26" s="65">
        <f t="shared" si="49"/>
        <v>0.57246451980515445</v>
      </c>
      <c r="CZ26" s="64">
        <f t="shared" si="50"/>
        <v>0.63224361990950217</v>
      </c>
      <c r="DA26" s="65">
        <f t="shared" si="51"/>
        <v>0.53908008636747318</v>
      </c>
      <c r="DB26" s="64">
        <f t="shared" si="52"/>
        <v>0.64544095324283546</v>
      </c>
      <c r="DC26" s="65">
        <f t="shared" si="53"/>
        <v>0.50569565292979202</v>
      </c>
      <c r="DD26" s="64">
        <f t="shared" si="54"/>
        <v>0.65863828657616874</v>
      </c>
      <c r="DE26" s="65">
        <f t="shared" si="55"/>
        <v>0.4723112194921108</v>
      </c>
      <c r="DF26" s="64">
        <f t="shared" si="56"/>
        <v>0.67183561990950202</v>
      </c>
      <c r="DG26" s="65">
        <f t="shared" si="57"/>
        <v>0.43892678605442959</v>
      </c>
      <c r="DL26">
        <v>2036</v>
      </c>
      <c r="DM26" s="64">
        <f t="shared" si="58"/>
        <v>0.43892678605442959</v>
      </c>
      <c r="DN26" s="64">
        <f t="shared" si="59"/>
        <v>0.4723112194921108</v>
      </c>
      <c r="DO26" s="64">
        <f t="shared" si="60"/>
        <v>0.50569565292979202</v>
      </c>
      <c r="DP26" s="64">
        <f t="shared" si="61"/>
        <v>0.53908008636747318</v>
      </c>
      <c r="DQ26" s="64">
        <f t="shared" si="62"/>
        <v>0.57246451980515445</v>
      </c>
      <c r="DR26" s="64">
        <f t="shared" si="63"/>
        <v>0.58876857966124996</v>
      </c>
      <c r="DS26" s="64">
        <f t="shared" si="24"/>
        <v>0.60507263951734547</v>
      </c>
      <c r="DT26" s="64">
        <f t="shared" si="25"/>
        <v>0.6849220512820513</v>
      </c>
      <c r="DU26" s="64">
        <f t="shared" si="26"/>
        <v>0.81572497099008046</v>
      </c>
      <c r="DV26" s="64">
        <f t="shared" si="27"/>
        <v>0.87139407074677144</v>
      </c>
      <c r="DW26" s="64">
        <f t="shared" si="28"/>
        <v>0.89825538461538457</v>
      </c>
      <c r="DX26" s="64">
        <f t="shared" si="29"/>
        <v>0.92075538461538453</v>
      </c>
      <c r="DY26" s="64">
        <f t="shared" si="30"/>
        <v>0.93113999999999997</v>
      </c>
      <c r="DZ26" s="64">
        <f t="shared" si="31"/>
        <v>0.93463999999999992</v>
      </c>
      <c r="EA26" s="3">
        <f t="shared" si="64"/>
        <v>0.95</v>
      </c>
      <c r="EB26">
        <v>2036</v>
      </c>
      <c r="EC26" s="269">
        <f t="shared" si="65"/>
        <v>0.43892678605442959</v>
      </c>
      <c r="ED26" s="269">
        <f t="shared" si="66"/>
        <v>0.05</v>
      </c>
      <c r="EE26" s="64">
        <f t="shared" si="32"/>
        <v>3.3384433437681216E-2</v>
      </c>
      <c r="EF26" s="64">
        <f t="shared" si="32"/>
        <v>3.3384433437681216E-2</v>
      </c>
      <c r="EG26" s="64">
        <f t="shared" si="32"/>
        <v>3.338443343768116E-2</v>
      </c>
      <c r="EH26" s="64">
        <f t="shared" si="32"/>
        <v>3.3384433437681271E-2</v>
      </c>
      <c r="EI26" s="64">
        <f t="shared" si="32"/>
        <v>1.630405985609551E-2</v>
      </c>
      <c r="EJ26" s="64">
        <f t="shared" si="32"/>
        <v>1.630405985609551E-2</v>
      </c>
      <c r="EK26" s="64">
        <f t="shared" si="32"/>
        <v>7.9849411764705835E-2</v>
      </c>
      <c r="EL26" s="64">
        <f t="shared" si="32"/>
        <v>0.13080291970802915</v>
      </c>
      <c r="EM26" s="64">
        <f t="shared" si="32"/>
        <v>5.5669099756690987E-2</v>
      </c>
      <c r="EN26" s="64">
        <f t="shared" si="32"/>
        <v>2.6861313868613124E-2</v>
      </c>
      <c r="EO26" s="64">
        <f t="shared" si="32"/>
        <v>2.2499999999999964E-2</v>
      </c>
      <c r="EP26" s="64">
        <f t="shared" si="32"/>
        <v>1.0384615384615437E-2</v>
      </c>
      <c r="EQ26" s="64">
        <f t="shared" si="32"/>
        <v>3.4999999999999476E-3</v>
      </c>
      <c r="ER26" s="64">
        <f t="shared" si="32"/>
        <v>1.536000000000004E-2</v>
      </c>
      <c r="EX26" s="89">
        <v>2036</v>
      </c>
      <c r="EY26" s="278">
        <f t="shared" si="67"/>
        <v>1.0566666666666666</v>
      </c>
      <c r="EZ26" s="278"/>
      <c r="FA26" s="278">
        <f t="shared" si="68"/>
        <v>0.49107897656690236</v>
      </c>
      <c r="FB26" s="278">
        <f t="shared" si="33"/>
        <v>0.05</v>
      </c>
      <c r="FC26" s="64">
        <f t="shared" si="69"/>
        <v>0.25775244279961351</v>
      </c>
      <c r="FD26" s="64">
        <f t="shared" si="70"/>
        <v>1.4482317385620919E-2</v>
      </c>
      <c r="FE26" s="64">
        <f t="shared" si="71"/>
        <v>0.14475523114355227</v>
      </c>
      <c r="FF26" s="64">
        <f t="shared" si="72"/>
        <v>6.1607137064071359E-2</v>
      </c>
      <c r="FG26" s="64">
        <f t="shared" si="73"/>
        <v>2.9726520681265189E-2</v>
      </c>
      <c r="FH26" s="64">
        <f t="shared" si="74"/>
        <v>2.489999999999996E-2</v>
      </c>
      <c r="FI26" s="64">
        <f t="shared" si="75"/>
        <v>1.149230769230775E-2</v>
      </c>
      <c r="FJ26" s="64">
        <f t="shared" si="76"/>
        <v>3.8733333333332755E-3</v>
      </c>
      <c r="FK26" s="280">
        <f t="shared" si="77"/>
        <v>1.6998400000000045E-2</v>
      </c>
      <c r="FL26" s="64"/>
      <c r="FM26" s="89">
        <v>2036</v>
      </c>
      <c r="FN26" s="278">
        <f t="shared" si="78"/>
        <v>1.0566666666666666</v>
      </c>
      <c r="FP26" s="278">
        <f t="shared" si="79"/>
        <v>0.52802441623793606</v>
      </c>
      <c r="FQ26" s="278">
        <f t="shared" si="80"/>
        <v>0.05</v>
      </c>
      <c r="FR26" s="64">
        <f t="shared" si="81"/>
        <v>0.20620195423969084</v>
      </c>
      <c r="FS26" s="64">
        <f t="shared" si="82"/>
        <v>2.90873662745098E-2</v>
      </c>
      <c r="FT26" s="64">
        <f t="shared" si="83"/>
        <v>0.14475523114355227</v>
      </c>
      <c r="FU26" s="64">
        <f t="shared" si="84"/>
        <v>6.1607137064071359E-2</v>
      </c>
      <c r="FV26" s="64">
        <f t="shared" si="85"/>
        <v>2.9726520681265189E-2</v>
      </c>
      <c r="FW26" s="64">
        <f t="shared" si="86"/>
        <v>2.489999999999996E-2</v>
      </c>
      <c r="FX26" s="64">
        <f t="shared" si="87"/>
        <v>1.149230769230775E-2</v>
      </c>
      <c r="FY26" s="64">
        <f t="shared" si="88"/>
        <v>3.8733333333332755E-3</v>
      </c>
      <c r="FZ26" s="280">
        <f t="shared" si="89"/>
        <v>1.6998400000000045E-2</v>
      </c>
      <c r="GA26" s="64"/>
      <c r="GB26" s="89">
        <v>2036</v>
      </c>
      <c r="GC26" s="278">
        <f t="shared" si="90"/>
        <v>1.0566666666666666</v>
      </c>
      <c r="GE26" s="278">
        <f t="shared" si="91"/>
        <v>0.56496985590896998</v>
      </c>
      <c r="GF26" s="278">
        <f t="shared" si="92"/>
        <v>0.05</v>
      </c>
      <c r="GG26" s="64">
        <f t="shared" si="93"/>
        <v>0.15465146567976815</v>
      </c>
      <c r="GH26" s="64">
        <f t="shared" si="94"/>
        <v>4.3692415163398682E-2</v>
      </c>
      <c r="GI26" s="64">
        <f t="shared" si="95"/>
        <v>0.14475523114355227</v>
      </c>
      <c r="GJ26" s="64">
        <f t="shared" si="96"/>
        <v>6.1607137064071359E-2</v>
      </c>
      <c r="GK26" s="64">
        <f t="shared" si="97"/>
        <v>2.9726520681265189E-2</v>
      </c>
      <c r="GL26" s="64">
        <f t="shared" si="98"/>
        <v>2.489999999999996E-2</v>
      </c>
      <c r="GM26" s="64">
        <f t="shared" si="99"/>
        <v>1.149230769230775E-2</v>
      </c>
      <c r="GN26" s="64">
        <f t="shared" si="100"/>
        <v>3.8733333333332755E-3</v>
      </c>
      <c r="GO26" s="280">
        <f t="shared" si="101"/>
        <v>1.6998400000000045E-2</v>
      </c>
      <c r="GP26" s="64"/>
      <c r="GQ26" s="89">
        <v>2036</v>
      </c>
      <c r="GR26" s="278">
        <f t="shared" si="102"/>
        <v>1.0566666666666666</v>
      </c>
      <c r="GT26" s="278">
        <f t="shared" si="103"/>
        <v>0.60191529558000378</v>
      </c>
      <c r="GU26" s="278">
        <f t="shared" si="104"/>
        <v>0.05</v>
      </c>
      <c r="GV26" s="64">
        <f t="shared" si="105"/>
        <v>0.10310097711984544</v>
      </c>
      <c r="GW26" s="64">
        <f t="shared" si="106"/>
        <v>5.8297464052287563E-2</v>
      </c>
      <c r="GX26" s="64">
        <f t="shared" si="107"/>
        <v>0.14475523114355227</v>
      </c>
      <c r="GY26" s="64">
        <f t="shared" si="108"/>
        <v>6.1607137064071359E-2</v>
      </c>
      <c r="GZ26" s="64">
        <f t="shared" si="109"/>
        <v>2.9726520681265189E-2</v>
      </c>
      <c r="HA26" s="64">
        <f t="shared" si="110"/>
        <v>2.489999999999996E-2</v>
      </c>
      <c r="HB26" s="64">
        <f t="shared" si="111"/>
        <v>1.149230769230775E-2</v>
      </c>
      <c r="HC26" s="64">
        <f t="shared" si="112"/>
        <v>3.8733333333332755E-3</v>
      </c>
      <c r="HD26" s="280">
        <f t="shared" si="113"/>
        <v>1.6998400000000045E-2</v>
      </c>
      <c r="HE26" s="64"/>
      <c r="HF26" s="89">
        <v>2036</v>
      </c>
      <c r="HG26" s="278">
        <f t="shared" si="114"/>
        <v>1.0566666666666666</v>
      </c>
      <c r="HI26" s="278">
        <f t="shared" si="115"/>
        <v>0.63886073525103759</v>
      </c>
      <c r="HJ26" s="278">
        <f t="shared" si="116"/>
        <v>0.05</v>
      </c>
      <c r="HK26" s="64">
        <f t="shared" si="117"/>
        <v>5.1550488559922704E-2</v>
      </c>
      <c r="HL26" s="64">
        <f t="shared" si="118"/>
        <v>7.2902512941176445E-2</v>
      </c>
      <c r="HM26" s="64">
        <f t="shared" si="119"/>
        <v>0.14475523114355227</v>
      </c>
      <c r="HN26" s="64">
        <f t="shared" si="120"/>
        <v>6.1607137064071359E-2</v>
      </c>
      <c r="HO26" s="64">
        <f t="shared" si="121"/>
        <v>2.9726520681265189E-2</v>
      </c>
      <c r="HP26" s="64">
        <f t="shared" si="122"/>
        <v>2.489999999999996E-2</v>
      </c>
      <c r="HQ26" s="64">
        <f t="shared" si="123"/>
        <v>1.149230769230775E-2</v>
      </c>
      <c r="HR26" s="64">
        <f t="shared" si="124"/>
        <v>3.8733333333332755E-3</v>
      </c>
      <c r="HS26" s="280">
        <f t="shared" si="125"/>
        <v>1.6998400000000045E-2</v>
      </c>
      <c r="HT26" s="64"/>
      <c r="HU26" s="89">
        <v>2036</v>
      </c>
      <c r="HV26" s="278">
        <f t="shared" si="126"/>
        <v>1.0566666666666666</v>
      </c>
      <c r="HX26" s="278">
        <f t="shared" si="127"/>
        <v>0.65690389482511669</v>
      </c>
      <c r="HY26" s="278">
        <f t="shared" si="128"/>
        <v>0.05</v>
      </c>
      <c r="HZ26" s="64">
        <f t="shared" si="129"/>
        <v>2.5775244279961335E-2</v>
      </c>
      <c r="IA26" s="64">
        <f t="shared" si="130"/>
        <v>8.0634597647058798E-2</v>
      </c>
      <c r="IB26" s="64">
        <f t="shared" si="131"/>
        <v>0.14475523114355227</v>
      </c>
      <c r="IC26" s="64">
        <f t="shared" si="132"/>
        <v>6.1607137064071359E-2</v>
      </c>
      <c r="ID26" s="64">
        <f t="shared" si="133"/>
        <v>2.9726520681265189E-2</v>
      </c>
      <c r="IE26" s="64">
        <f t="shared" si="134"/>
        <v>2.489999999999996E-2</v>
      </c>
      <c r="IF26" s="64">
        <f t="shared" si="135"/>
        <v>1.149230769230775E-2</v>
      </c>
      <c r="IG26" s="64">
        <f t="shared" si="136"/>
        <v>3.8733333333332755E-3</v>
      </c>
      <c r="IH26" s="280">
        <f t="shared" si="137"/>
        <v>1.6998400000000045E-2</v>
      </c>
      <c r="II26" s="64"/>
      <c r="IJ26" s="89">
        <v>2036</v>
      </c>
      <c r="IK26" s="278">
        <f t="shared" si="138"/>
        <v>1.0566666666666666</v>
      </c>
      <c r="IM26" s="278">
        <f t="shared" si="139"/>
        <v>0.67494705439919567</v>
      </c>
      <c r="IN26" s="278">
        <f t="shared" si="140"/>
        <v>0.05</v>
      </c>
      <c r="IO26" s="64">
        <v>0</v>
      </c>
      <c r="IP26" s="64">
        <f t="shared" si="141"/>
        <v>8.836668235294115E-2</v>
      </c>
      <c r="IQ26" s="64">
        <f t="shared" si="142"/>
        <v>0.14475523114355227</v>
      </c>
      <c r="IR26" s="64">
        <f t="shared" si="143"/>
        <v>6.1607137064071359E-2</v>
      </c>
      <c r="IS26" s="64">
        <f t="shared" si="144"/>
        <v>2.9726520681265189E-2</v>
      </c>
      <c r="IT26" s="64">
        <f t="shared" si="145"/>
        <v>2.489999999999996E-2</v>
      </c>
      <c r="IU26" s="64">
        <f t="shared" si="146"/>
        <v>1.149230769230775E-2</v>
      </c>
      <c r="IV26" s="64">
        <f t="shared" si="147"/>
        <v>3.8733333333332755E-3</v>
      </c>
      <c r="IW26" s="280">
        <f t="shared" si="148"/>
        <v>1.6998400000000045E-2</v>
      </c>
      <c r="IX26" s="64"/>
      <c r="IY26" s="3">
        <f t="shared" si="149"/>
        <v>0.34500000000000064</v>
      </c>
      <c r="IZ26">
        <f t="shared" si="34"/>
        <v>2036</v>
      </c>
      <c r="JA26" s="3">
        <f t="shared" si="150"/>
        <v>14.041986688888889</v>
      </c>
      <c r="JB26" s="353">
        <f>HLOOKUP('1 StrategyMix for CarbonTargets'!$V$46,'Stress calculations'!JI$8:JU$39,19,FALSE)</f>
        <v>13.794026239658564</v>
      </c>
      <c r="JC26" s="3">
        <f t="shared" si="151"/>
        <v>17.056666666666665</v>
      </c>
      <c r="JD26" s="353">
        <f t="shared" si="152"/>
        <v>17.95438596491228</v>
      </c>
      <c r="JE26" s="418">
        <f t="shared" si="35"/>
        <v>0.34499999999999986</v>
      </c>
      <c r="JF26" s="368">
        <f t="shared" si="153"/>
        <v>10.032499999999994</v>
      </c>
      <c r="JG26" s="369">
        <f t="shared" si="154"/>
        <v>10.560526315789467</v>
      </c>
      <c r="JH26" s="363">
        <f t="shared" si="155"/>
        <v>12.868340686718724</v>
      </c>
      <c r="JI26" s="362">
        <f t="shared" si="36"/>
        <v>13.545621775493395</v>
      </c>
      <c r="JJ26" s="366">
        <f t="shared" si="37"/>
        <v>13.104324927675634</v>
      </c>
      <c r="JK26" s="367">
        <f t="shared" si="8"/>
        <v>13.794026239658564</v>
      </c>
      <c r="JL26" s="363">
        <f t="shared" si="38"/>
        <v>13.340309168632542</v>
      </c>
      <c r="JM26" s="362">
        <f t="shared" si="39"/>
        <v>14.042430703823729</v>
      </c>
      <c r="JN26" s="366">
        <f t="shared" si="156"/>
        <v>13.576293409589447</v>
      </c>
      <c r="JO26" s="367">
        <f t="shared" si="40"/>
        <v>14.290835167988892</v>
      </c>
      <c r="JP26" s="363">
        <f t="shared" si="157"/>
        <v>13.812277650546362</v>
      </c>
      <c r="JQ26" s="362">
        <f t="shared" si="41"/>
        <v>14.539239632154066</v>
      </c>
      <c r="JR26" s="366">
        <f t="shared" si="158"/>
        <v>13.927132169717622</v>
      </c>
      <c r="JS26" s="367">
        <f t="shared" si="42"/>
        <v>14.660139126018549</v>
      </c>
      <c r="JT26" s="363">
        <f t="shared" si="159"/>
        <v>14.041986688888889</v>
      </c>
      <c r="JU26" s="362">
        <f t="shared" si="43"/>
        <v>14.781038619883041</v>
      </c>
    </row>
    <row r="27" spans="1:283">
      <c r="A27" s="247"/>
      <c r="B27" s="247"/>
      <c r="C27" s="247"/>
      <c r="D27" s="247"/>
      <c r="E27" s="247"/>
      <c r="F27" s="247"/>
      <c r="H27" s="300"/>
      <c r="J27" s="301"/>
      <c r="AO27" s="89">
        <v>2037</v>
      </c>
      <c r="AP27" s="170">
        <f t="shared" si="160"/>
        <v>-1.6320000000000005E-2</v>
      </c>
      <c r="AQ27" s="170">
        <f t="shared" si="160"/>
        <v>-3.750000000000002E-3</v>
      </c>
      <c r="AR27" s="170">
        <f t="shared" si="160"/>
        <v>-1.1249999999999998E-2</v>
      </c>
      <c r="AS27" s="170">
        <f t="shared" si="160"/>
        <v>-2.5714285714285717E-2</v>
      </c>
      <c r="AU27" s="170">
        <f t="shared" si="161"/>
        <v>-2.8540145985401458E-2</v>
      </c>
      <c r="AV27" s="170">
        <f t="shared" si="162"/>
        <v>-5.9148418491484181E-2</v>
      </c>
      <c r="AW27" s="170">
        <f t="shared" si="163"/>
        <v>-0.13897810218978102</v>
      </c>
      <c r="AY27" s="170">
        <f t="shared" si="164"/>
        <v>-8.4839999999999985E-2</v>
      </c>
      <c r="AZ27" s="278">
        <f t="shared" si="165"/>
        <v>7.4858823529411729E-3</v>
      </c>
      <c r="BA27" s="284">
        <f t="shared" si="166"/>
        <v>-3.0577516382608673E-2</v>
      </c>
      <c r="BB27" s="276">
        <f t="shared" si="167"/>
        <v>-3.2328958260869546E-2</v>
      </c>
      <c r="BC27" s="277">
        <f t="shared" si="168"/>
        <v>-2.5481263652173892E-2</v>
      </c>
      <c r="BD27" s="278">
        <f t="shared" si="169"/>
        <v>7.4858823529411729E-3</v>
      </c>
      <c r="BE27" s="284">
        <f t="shared" si="170"/>
        <v>-3.0577516382608715E-2</v>
      </c>
      <c r="BF27" s="276">
        <f t="shared" si="171"/>
        <v>-3.2328958260869546E-2</v>
      </c>
      <c r="BG27" s="277">
        <f t="shared" si="9"/>
        <v>-2.548126365217393E-2</v>
      </c>
      <c r="BH27" s="278">
        <f t="shared" si="172"/>
        <v>1.4139999999999995E-2</v>
      </c>
      <c r="BI27" s="284">
        <f t="shared" si="173"/>
        <v>-6.1155032765217415E-2</v>
      </c>
      <c r="BJ27" s="276">
        <f t="shared" si="174"/>
        <v>-6.4657916521739203E-2</v>
      </c>
      <c r="BK27" s="277">
        <f t="shared" si="10"/>
        <v>-5.096252730434786E-2</v>
      </c>
      <c r="BL27" s="278">
        <f t="shared" si="175"/>
        <v>1.4139999999999995E-2</v>
      </c>
      <c r="BM27" s="284">
        <f t="shared" si="176"/>
        <v>-6.1155032765217374E-2</v>
      </c>
      <c r="BN27" s="276">
        <f t="shared" si="177"/>
        <v>-6.4657916521739078E-2</v>
      </c>
      <c r="BO27" s="277">
        <f t="shared" si="11"/>
        <v>-5.0962527304347818E-2</v>
      </c>
      <c r="BP27" s="278">
        <f t="shared" si="178"/>
        <v>1.4139999999999995E-2</v>
      </c>
      <c r="BQ27" s="284">
        <f t="shared" si="179"/>
        <v>-6.1155032765217429E-2</v>
      </c>
      <c r="BR27" s="276">
        <f t="shared" si="180"/>
        <v>-6.4657916521739134E-2</v>
      </c>
      <c r="BS27" s="277">
        <f t="shared" si="12"/>
        <v>-5.0962527304347832E-2</v>
      </c>
      <c r="BT27" s="278">
        <f t="shared" si="181"/>
        <v>1.4139999999999995E-2</v>
      </c>
      <c r="BU27" s="284">
        <f t="shared" si="182"/>
        <v>-6.1155032765217374E-2</v>
      </c>
      <c r="BV27" s="276">
        <f t="shared" si="183"/>
        <v>-6.465791652173912E-2</v>
      </c>
      <c r="BW27" s="278">
        <f t="shared" si="13"/>
        <v>-5.0962527304347818E-2</v>
      </c>
      <c r="BX27" s="391">
        <f t="shared" si="44"/>
        <v>-2.7448235294117655E-2</v>
      </c>
      <c r="BY27" s="388">
        <f t="shared" si="45"/>
        <v>-0.20385010921739133</v>
      </c>
      <c r="BZ27" s="409">
        <f t="shared" si="184"/>
        <v>0.66666666666666652</v>
      </c>
      <c r="CB27" s="279">
        <f t="shared" si="185"/>
        <v>-0.36854095238095236</v>
      </c>
      <c r="CC27" s="64">
        <f t="shared" si="15"/>
        <v>-0.38653633368018508</v>
      </c>
      <c r="CD27" s="64">
        <f t="shared" si="16"/>
        <v>-0.40453171497941787</v>
      </c>
      <c r="CE27" s="64">
        <f t="shared" si="17"/>
        <v>-0.44135424228376574</v>
      </c>
      <c r="CF27" s="64">
        <f t="shared" si="18"/>
        <v>-0.47817676958811356</v>
      </c>
      <c r="CG27" s="64">
        <f t="shared" si="19"/>
        <v>-0.51499929689246138</v>
      </c>
      <c r="CH27" s="64">
        <f t="shared" si="20"/>
        <v>-0.55182182419680914</v>
      </c>
      <c r="CI27">
        <v>2037</v>
      </c>
      <c r="CJ27" s="240"/>
      <c r="CL27">
        <v>2037</v>
      </c>
      <c r="CM27" s="3">
        <f t="shared" si="46"/>
        <v>0.95</v>
      </c>
      <c r="CN27" s="64">
        <f t="shared" si="21"/>
        <v>0.93367999999999995</v>
      </c>
      <c r="CO27" s="64">
        <f t="shared" si="21"/>
        <v>0.92992999999999992</v>
      </c>
      <c r="CP27" s="64">
        <f t="shared" si="21"/>
        <v>0.91867999999999994</v>
      </c>
      <c r="CQ27" s="64">
        <f t="shared" si="21"/>
        <v>0.89296571428571425</v>
      </c>
      <c r="CR27" s="64">
        <f t="shared" si="22"/>
        <v>0.86442556830031281</v>
      </c>
      <c r="CS27" s="64">
        <f t="shared" si="22"/>
        <v>0.80527714980882859</v>
      </c>
      <c r="CT27" s="64">
        <f t="shared" si="22"/>
        <v>0.66629904761904757</v>
      </c>
      <c r="CU27" s="64">
        <f t="shared" si="23"/>
        <v>0.58145904761904754</v>
      </c>
      <c r="CV27" s="64">
        <f t="shared" si="23"/>
        <v>0.58894492997198866</v>
      </c>
      <c r="CW27" s="65">
        <f t="shared" si="47"/>
        <v>0.56346366631981482</v>
      </c>
      <c r="CX27" s="64">
        <f t="shared" si="48"/>
        <v>0.59643081232492978</v>
      </c>
      <c r="CY27" s="65">
        <f t="shared" si="49"/>
        <v>0.54546828502058198</v>
      </c>
      <c r="CZ27" s="64">
        <f t="shared" si="50"/>
        <v>0.61057081232492982</v>
      </c>
      <c r="DA27" s="65">
        <f t="shared" si="51"/>
        <v>0.50864575771623421</v>
      </c>
      <c r="DB27" s="64">
        <f t="shared" si="52"/>
        <v>0.62471081232492987</v>
      </c>
      <c r="DC27" s="65">
        <f t="shared" si="53"/>
        <v>0.47182323041188645</v>
      </c>
      <c r="DD27" s="64">
        <f t="shared" si="54"/>
        <v>0.63885081232492991</v>
      </c>
      <c r="DE27" s="65">
        <f t="shared" si="55"/>
        <v>0.43500070310753869</v>
      </c>
      <c r="DF27" s="64">
        <f t="shared" si="56"/>
        <v>0.65299081232492995</v>
      </c>
      <c r="DG27" s="65">
        <f t="shared" si="57"/>
        <v>0.39817817580319093</v>
      </c>
      <c r="DL27">
        <v>2037</v>
      </c>
      <c r="DM27" s="64">
        <f t="shared" si="58"/>
        <v>0.39817817580319093</v>
      </c>
      <c r="DN27" s="64">
        <f t="shared" si="59"/>
        <v>0.43500070310753869</v>
      </c>
      <c r="DO27" s="64">
        <f t="shared" si="60"/>
        <v>0.47182323041188645</v>
      </c>
      <c r="DP27" s="64">
        <f t="shared" si="61"/>
        <v>0.50864575771623421</v>
      </c>
      <c r="DQ27" s="64">
        <f t="shared" si="62"/>
        <v>0.54546828502058198</v>
      </c>
      <c r="DR27" s="64">
        <f t="shared" si="63"/>
        <v>0.56346366631981482</v>
      </c>
      <c r="DS27" s="64">
        <f t="shared" si="24"/>
        <v>0.58145904761904754</v>
      </c>
      <c r="DT27" s="64">
        <f t="shared" si="25"/>
        <v>0.66629904761904757</v>
      </c>
      <c r="DU27" s="64">
        <f t="shared" si="26"/>
        <v>0.80527714980882859</v>
      </c>
      <c r="DV27" s="64">
        <f t="shared" si="27"/>
        <v>0.86442556830031281</v>
      </c>
      <c r="DW27" s="64">
        <f t="shared" si="28"/>
        <v>0.89296571428571425</v>
      </c>
      <c r="DX27" s="64">
        <f t="shared" si="29"/>
        <v>0.91867999999999994</v>
      </c>
      <c r="DY27" s="64">
        <f t="shared" si="30"/>
        <v>0.92992999999999992</v>
      </c>
      <c r="DZ27" s="64">
        <f t="shared" si="31"/>
        <v>0.93367999999999995</v>
      </c>
      <c r="EA27" s="3">
        <f t="shared" si="64"/>
        <v>0.95</v>
      </c>
      <c r="EB27">
        <v>2037</v>
      </c>
      <c r="EC27" s="269">
        <f t="shared" si="65"/>
        <v>0.39817817580319104</v>
      </c>
      <c r="ED27" s="269">
        <f t="shared" si="66"/>
        <v>0.05</v>
      </c>
      <c r="EE27" s="64">
        <f t="shared" ref="EE27:ER40" si="186">(DN27-DM27)</f>
        <v>3.6822527304347763E-2</v>
      </c>
      <c r="EF27" s="64">
        <f t="shared" si="186"/>
        <v>3.6822527304347763E-2</v>
      </c>
      <c r="EG27" s="64">
        <f t="shared" si="186"/>
        <v>3.6822527304347763E-2</v>
      </c>
      <c r="EH27" s="64">
        <f t="shared" si="186"/>
        <v>3.6822527304347763E-2</v>
      </c>
      <c r="EI27" s="64">
        <f t="shared" si="186"/>
        <v>1.7995381299232838E-2</v>
      </c>
      <c r="EJ27" s="64">
        <f t="shared" si="186"/>
        <v>1.7995381299232727E-2</v>
      </c>
      <c r="EK27" s="64">
        <f t="shared" si="186"/>
        <v>8.4840000000000027E-2</v>
      </c>
      <c r="EL27" s="64">
        <f t="shared" si="186"/>
        <v>0.13897810218978102</v>
      </c>
      <c r="EM27" s="64">
        <f t="shared" si="186"/>
        <v>5.9148418491484223E-2</v>
      </c>
      <c r="EN27" s="64">
        <f t="shared" si="186"/>
        <v>2.8540145985401444E-2</v>
      </c>
      <c r="EO27" s="64">
        <f t="shared" si="186"/>
        <v>2.571428571428569E-2</v>
      </c>
      <c r="EP27" s="64">
        <f t="shared" si="186"/>
        <v>1.1249999999999982E-2</v>
      </c>
      <c r="EQ27" s="64">
        <f t="shared" si="186"/>
        <v>3.7500000000000311E-3</v>
      </c>
      <c r="ER27" s="64">
        <f t="shared" si="186"/>
        <v>1.6320000000000001E-2</v>
      </c>
      <c r="EX27" s="89">
        <v>2037</v>
      </c>
      <c r="EY27" s="278">
        <f t="shared" si="67"/>
        <v>1.0633333333333332</v>
      </c>
      <c r="EZ27" s="278"/>
      <c r="FA27" s="278">
        <f t="shared" si="68"/>
        <v>0.4489717023942188</v>
      </c>
      <c r="FB27" s="278">
        <f t="shared" si="33"/>
        <v>0.05</v>
      </c>
      <c r="FC27" s="64">
        <f t="shared" si="69"/>
        <v>0.28369140199420295</v>
      </c>
      <c r="FD27" s="64">
        <f t="shared" si="70"/>
        <v>1.4816501960784332E-2</v>
      </c>
      <c r="FE27" s="64">
        <f t="shared" si="71"/>
        <v>0.15472895377128956</v>
      </c>
      <c r="FF27" s="64">
        <f t="shared" si="72"/>
        <v>6.5851905920519108E-2</v>
      </c>
      <c r="FG27" s="64">
        <f t="shared" si="73"/>
        <v>3.1774695863746948E-2</v>
      </c>
      <c r="FH27" s="64">
        <f t="shared" si="74"/>
        <v>2.8628571428571406E-2</v>
      </c>
      <c r="FI27" s="64">
        <f t="shared" si="75"/>
        <v>1.2524999999999982E-2</v>
      </c>
      <c r="FJ27" s="64">
        <f t="shared" si="76"/>
        <v>4.1750000000000355E-3</v>
      </c>
      <c r="FK27" s="280">
        <f t="shared" si="77"/>
        <v>1.8169600000000004E-2</v>
      </c>
      <c r="FL27" s="64"/>
      <c r="FM27" s="89">
        <v>2037</v>
      </c>
      <c r="FN27" s="278">
        <f t="shared" si="78"/>
        <v>1.0633333333333332</v>
      </c>
      <c r="FP27" s="278">
        <f t="shared" si="79"/>
        <v>0.48996744945972603</v>
      </c>
      <c r="FQ27" s="278">
        <f t="shared" si="80"/>
        <v>0.05</v>
      </c>
      <c r="FR27" s="64">
        <f t="shared" si="81"/>
        <v>0.22695312159536238</v>
      </c>
      <c r="FS27" s="64">
        <f t="shared" si="82"/>
        <v>3.0559035294117663E-2</v>
      </c>
      <c r="FT27" s="64">
        <f t="shared" si="83"/>
        <v>0.15472895377128956</v>
      </c>
      <c r="FU27" s="64">
        <f t="shared" si="84"/>
        <v>6.5851905920519108E-2</v>
      </c>
      <c r="FV27" s="64">
        <f t="shared" si="85"/>
        <v>3.1774695863746948E-2</v>
      </c>
      <c r="FW27" s="64">
        <f t="shared" si="86"/>
        <v>2.8628571428571406E-2</v>
      </c>
      <c r="FX27" s="64">
        <f t="shared" si="87"/>
        <v>1.2524999999999982E-2</v>
      </c>
      <c r="FY27" s="64">
        <f t="shared" si="88"/>
        <v>4.1750000000000355E-3</v>
      </c>
      <c r="FZ27" s="280">
        <f t="shared" si="89"/>
        <v>1.8169600000000004E-2</v>
      </c>
      <c r="GA27" s="64"/>
      <c r="GB27" s="89">
        <v>2037</v>
      </c>
      <c r="GC27" s="278">
        <f t="shared" si="90"/>
        <v>1.0633333333333332</v>
      </c>
      <c r="GE27" s="278">
        <f t="shared" si="91"/>
        <v>0.53096319652523349</v>
      </c>
      <c r="GF27" s="278">
        <f t="shared" si="92"/>
        <v>0.05</v>
      </c>
      <c r="GG27" s="64">
        <f t="shared" si="93"/>
        <v>0.17021484119652178</v>
      </c>
      <c r="GH27" s="64">
        <f t="shared" si="94"/>
        <v>4.6301568627450988E-2</v>
      </c>
      <c r="GI27" s="64">
        <f t="shared" si="95"/>
        <v>0.15472895377128956</v>
      </c>
      <c r="GJ27" s="64">
        <f t="shared" si="96"/>
        <v>6.5851905920519108E-2</v>
      </c>
      <c r="GK27" s="64">
        <f t="shared" si="97"/>
        <v>3.1774695863746948E-2</v>
      </c>
      <c r="GL27" s="64">
        <f t="shared" si="98"/>
        <v>2.8628571428571406E-2</v>
      </c>
      <c r="GM27" s="64">
        <f t="shared" si="99"/>
        <v>1.2524999999999982E-2</v>
      </c>
      <c r="GN27" s="64">
        <f t="shared" si="100"/>
        <v>4.1750000000000355E-3</v>
      </c>
      <c r="GO27" s="280">
        <f t="shared" si="101"/>
        <v>1.8169600000000004E-2</v>
      </c>
      <c r="GP27" s="64"/>
      <c r="GQ27" s="89">
        <v>2037</v>
      </c>
      <c r="GR27" s="278">
        <f t="shared" si="102"/>
        <v>1.0633333333333332</v>
      </c>
      <c r="GT27" s="278">
        <f t="shared" si="103"/>
        <v>0.57195894359074073</v>
      </c>
      <c r="GU27" s="278">
        <f t="shared" si="104"/>
        <v>0.05</v>
      </c>
      <c r="GV27" s="64">
        <f t="shared" si="105"/>
        <v>0.1134765607976812</v>
      </c>
      <c r="GW27" s="64">
        <f t="shared" si="106"/>
        <v>6.2044101960784317E-2</v>
      </c>
      <c r="GX27" s="64">
        <f t="shared" si="107"/>
        <v>0.15472895377128956</v>
      </c>
      <c r="GY27" s="64">
        <f t="shared" si="108"/>
        <v>6.5851905920519108E-2</v>
      </c>
      <c r="GZ27" s="64">
        <f t="shared" si="109"/>
        <v>3.1774695863746948E-2</v>
      </c>
      <c r="HA27" s="64">
        <f t="shared" si="110"/>
        <v>2.8628571428571406E-2</v>
      </c>
      <c r="HB27" s="64">
        <f t="shared" si="111"/>
        <v>1.2524999999999982E-2</v>
      </c>
      <c r="HC27" s="64">
        <f t="shared" si="112"/>
        <v>4.1750000000000355E-3</v>
      </c>
      <c r="HD27" s="280">
        <f t="shared" si="113"/>
        <v>1.8169600000000004E-2</v>
      </c>
      <c r="HE27" s="64"/>
      <c r="HF27" s="89">
        <v>2037</v>
      </c>
      <c r="HG27" s="278">
        <f t="shared" si="114"/>
        <v>1.0633333333333332</v>
      </c>
      <c r="HI27" s="278">
        <f t="shared" si="115"/>
        <v>0.61295469065624797</v>
      </c>
      <c r="HJ27" s="278">
        <f t="shared" si="116"/>
        <v>0.05</v>
      </c>
      <c r="HK27" s="64">
        <f t="shared" si="117"/>
        <v>5.6738280398840581E-2</v>
      </c>
      <c r="HL27" s="64">
        <f t="shared" si="118"/>
        <v>7.778663529411764E-2</v>
      </c>
      <c r="HM27" s="64">
        <f t="shared" si="119"/>
        <v>0.15472895377128956</v>
      </c>
      <c r="HN27" s="64">
        <f t="shared" si="120"/>
        <v>6.5851905920519108E-2</v>
      </c>
      <c r="HO27" s="64">
        <f t="shared" si="121"/>
        <v>3.1774695863746948E-2</v>
      </c>
      <c r="HP27" s="64">
        <f t="shared" si="122"/>
        <v>2.8628571428571406E-2</v>
      </c>
      <c r="HQ27" s="64">
        <f t="shared" si="123"/>
        <v>1.2524999999999982E-2</v>
      </c>
      <c r="HR27" s="64">
        <f t="shared" si="124"/>
        <v>4.1750000000000355E-3</v>
      </c>
      <c r="HS27" s="280">
        <f t="shared" si="125"/>
        <v>1.8169600000000004E-2</v>
      </c>
      <c r="HT27" s="64"/>
      <c r="HU27" s="89">
        <v>2037</v>
      </c>
      <c r="HV27" s="278">
        <f t="shared" si="126"/>
        <v>1.0633333333333332</v>
      </c>
      <c r="HX27" s="278">
        <f t="shared" si="127"/>
        <v>0.63298954850272715</v>
      </c>
      <c r="HY27" s="278">
        <f t="shared" si="128"/>
        <v>0.05</v>
      </c>
      <c r="HZ27" s="64">
        <f t="shared" si="129"/>
        <v>2.836914019942027E-2</v>
      </c>
      <c r="IA27" s="64">
        <f t="shared" si="130"/>
        <v>8.6120917647058814E-2</v>
      </c>
      <c r="IB27" s="64">
        <f t="shared" si="131"/>
        <v>0.15472895377128956</v>
      </c>
      <c r="IC27" s="64">
        <f t="shared" si="132"/>
        <v>6.5851905920519108E-2</v>
      </c>
      <c r="ID27" s="64">
        <f t="shared" si="133"/>
        <v>3.1774695863746948E-2</v>
      </c>
      <c r="IE27" s="64">
        <f t="shared" si="134"/>
        <v>2.8628571428571406E-2</v>
      </c>
      <c r="IF27" s="64">
        <f t="shared" si="135"/>
        <v>1.2524999999999982E-2</v>
      </c>
      <c r="IG27" s="64">
        <f t="shared" si="136"/>
        <v>4.1750000000000355E-3</v>
      </c>
      <c r="IH27" s="280">
        <f t="shared" si="137"/>
        <v>1.8169600000000004E-2</v>
      </c>
      <c r="II27" s="64"/>
      <c r="IJ27" s="89">
        <v>2037</v>
      </c>
      <c r="IK27" s="278">
        <f t="shared" si="138"/>
        <v>1.0633333333333332</v>
      </c>
      <c r="IM27" s="278">
        <f t="shared" si="139"/>
        <v>0.65302440634920622</v>
      </c>
      <c r="IN27" s="278">
        <f t="shared" si="140"/>
        <v>0.05</v>
      </c>
      <c r="IO27" s="64">
        <v>0</v>
      </c>
      <c r="IP27" s="64">
        <f t="shared" si="141"/>
        <v>9.4455200000000003E-2</v>
      </c>
      <c r="IQ27" s="64">
        <f t="shared" si="142"/>
        <v>0.15472895377128956</v>
      </c>
      <c r="IR27" s="64">
        <f t="shared" si="143"/>
        <v>6.5851905920519108E-2</v>
      </c>
      <c r="IS27" s="64">
        <f t="shared" si="144"/>
        <v>3.1774695863746948E-2</v>
      </c>
      <c r="IT27" s="64">
        <f t="shared" si="145"/>
        <v>2.8628571428571406E-2</v>
      </c>
      <c r="IU27" s="64">
        <f t="shared" si="146"/>
        <v>1.2524999999999982E-2</v>
      </c>
      <c r="IV27" s="64">
        <f t="shared" si="147"/>
        <v>4.1750000000000355E-3</v>
      </c>
      <c r="IW27" s="280">
        <f t="shared" si="148"/>
        <v>1.8169600000000004E-2</v>
      </c>
      <c r="IX27" s="64"/>
      <c r="IY27" s="3">
        <f t="shared" si="149"/>
        <v>0.32750000000000057</v>
      </c>
      <c r="IZ27">
        <f t="shared" si="34"/>
        <v>2037</v>
      </c>
      <c r="JA27" s="3">
        <f t="shared" si="150"/>
        <v>14.695011095238096</v>
      </c>
      <c r="JB27" s="353">
        <f>HLOOKUP('1 StrategyMix for CarbonTargets'!$V$46,'Stress calculations'!JI$8:JU$39,20,FALSE)</f>
        <v>14.309781449616169</v>
      </c>
      <c r="JC27" s="3">
        <f t="shared" si="151"/>
        <v>18.119999999999997</v>
      </c>
      <c r="JD27" s="353">
        <f t="shared" si="152"/>
        <v>19.073684210526313</v>
      </c>
      <c r="JE27" s="418">
        <f t="shared" si="35"/>
        <v>0.3274999999999999</v>
      </c>
      <c r="JF27" s="368">
        <f t="shared" si="153"/>
        <v>10.359999999999994</v>
      </c>
      <c r="JG27" s="369">
        <f t="shared" si="154"/>
        <v>10.905263157894732</v>
      </c>
      <c r="JH27" s="363">
        <f t="shared" si="155"/>
        <v>13.317312389112944</v>
      </c>
      <c r="JI27" s="362">
        <f t="shared" si="36"/>
        <v>14.018223567487309</v>
      </c>
      <c r="JJ27" s="366">
        <f t="shared" si="37"/>
        <v>13.594292377135361</v>
      </c>
      <c r="JK27" s="367">
        <f t="shared" si="8"/>
        <v>14.309781449616169</v>
      </c>
      <c r="JL27" s="363">
        <f t="shared" si="38"/>
        <v>13.871272365157775</v>
      </c>
      <c r="JM27" s="362">
        <f t="shared" si="39"/>
        <v>14.601339331745027</v>
      </c>
      <c r="JN27" s="366">
        <f t="shared" si="156"/>
        <v>14.148252353180187</v>
      </c>
      <c r="JO27" s="367">
        <f t="shared" si="40"/>
        <v>14.892897213873882</v>
      </c>
      <c r="JP27" s="363">
        <f t="shared" si="157"/>
        <v>14.425232341202609</v>
      </c>
      <c r="JQ27" s="362">
        <f t="shared" si="41"/>
        <v>15.184455096002747</v>
      </c>
      <c r="JR27" s="366">
        <f t="shared" si="158"/>
        <v>14.56012171822035</v>
      </c>
      <c r="JS27" s="367">
        <f t="shared" si="42"/>
        <v>15.326443913916158</v>
      </c>
      <c r="JT27" s="363">
        <f t="shared" si="159"/>
        <v>14.695011095238096</v>
      </c>
      <c r="JU27" s="362">
        <f t="shared" si="43"/>
        <v>15.468432731829575</v>
      </c>
    </row>
    <row r="28" spans="1:283">
      <c r="A28" s="247" t="s">
        <v>106</v>
      </c>
      <c r="B28" s="247"/>
      <c r="C28" s="247"/>
      <c r="D28" s="247"/>
      <c r="E28" s="247"/>
      <c r="F28" s="247"/>
      <c r="H28" s="723"/>
      <c r="I28" s="583"/>
      <c r="J28" s="724"/>
      <c r="AO28" s="89">
        <v>2038</v>
      </c>
      <c r="AP28" s="170">
        <f t="shared" si="160"/>
        <v>-1.7280000000000004E-2</v>
      </c>
      <c r="AQ28" s="170">
        <f t="shared" si="160"/>
        <v>-4.0000000000000018E-3</v>
      </c>
      <c r="AR28" s="170">
        <f t="shared" si="160"/>
        <v>-1.2115384615384613E-2</v>
      </c>
      <c r="AS28" s="170">
        <f t="shared" si="160"/>
        <v>-2.8928571428571432E-2</v>
      </c>
      <c r="AU28" s="170">
        <f t="shared" si="161"/>
        <v>-3.0218978102189778E-2</v>
      </c>
      <c r="AV28" s="170">
        <f t="shared" si="162"/>
        <v>-6.2627737226277375E-2</v>
      </c>
      <c r="AW28" s="170">
        <f t="shared" si="163"/>
        <v>-0.14715328467153285</v>
      </c>
      <c r="AY28" s="170">
        <f t="shared" si="164"/>
        <v>-8.4839999999999971E-2</v>
      </c>
      <c r="AZ28" s="278">
        <f t="shared" si="165"/>
        <v>7.9849411764705853E-3</v>
      </c>
      <c r="BA28" s="284">
        <f t="shared" si="166"/>
        <v>-3.1209611269565195E-2</v>
      </c>
      <c r="BB28" s="276">
        <f t="shared" si="167"/>
        <v>-3.4484222144927516E-2</v>
      </c>
      <c r="BC28" s="277">
        <f t="shared" si="168"/>
        <v>-2.7741876684057951E-2</v>
      </c>
      <c r="BD28" s="278">
        <f t="shared" si="169"/>
        <v>7.9849411764705853E-3</v>
      </c>
      <c r="BE28" s="284">
        <f t="shared" si="170"/>
        <v>-3.1209611269565236E-2</v>
      </c>
      <c r="BF28" s="276">
        <f t="shared" si="171"/>
        <v>-3.4484222144927516E-2</v>
      </c>
      <c r="BG28" s="277">
        <f t="shared" si="9"/>
        <v>-2.7741876684057989E-2</v>
      </c>
      <c r="BH28" s="278">
        <f t="shared" si="172"/>
        <v>1.5082666666666661E-2</v>
      </c>
      <c r="BI28" s="284">
        <f t="shared" si="173"/>
        <v>-6.2419222539130459E-2</v>
      </c>
      <c r="BJ28" s="276">
        <f t="shared" si="174"/>
        <v>-6.8968444289855144E-2</v>
      </c>
      <c r="BK28" s="277">
        <f t="shared" si="10"/>
        <v>-5.5483753368115972E-2</v>
      </c>
      <c r="BL28" s="278">
        <f t="shared" si="175"/>
        <v>1.5082666666666661E-2</v>
      </c>
      <c r="BM28" s="284">
        <f t="shared" si="176"/>
        <v>-6.2419222539130417E-2</v>
      </c>
      <c r="BN28" s="276">
        <f t="shared" si="177"/>
        <v>-6.8968444289855019E-2</v>
      </c>
      <c r="BO28" s="277">
        <f t="shared" si="11"/>
        <v>-5.5483753368115937E-2</v>
      </c>
      <c r="BP28" s="278">
        <f t="shared" si="178"/>
        <v>1.5082666666666661E-2</v>
      </c>
      <c r="BQ28" s="284">
        <f t="shared" si="179"/>
        <v>-6.2419222539130473E-2</v>
      </c>
      <c r="BR28" s="276">
        <f t="shared" si="180"/>
        <v>-6.8968444289855074E-2</v>
      </c>
      <c r="BS28" s="277">
        <f t="shared" si="12"/>
        <v>-5.5483753368115951E-2</v>
      </c>
      <c r="BT28" s="278">
        <f t="shared" si="181"/>
        <v>1.5082666666666661E-2</v>
      </c>
      <c r="BU28" s="284">
        <f t="shared" si="182"/>
        <v>-6.2419222539130417E-2</v>
      </c>
      <c r="BV28" s="276">
        <f t="shared" si="183"/>
        <v>-6.896844428985506E-2</v>
      </c>
      <c r="BW28" s="278">
        <f t="shared" si="13"/>
        <v>-5.548375336811593E-2</v>
      </c>
      <c r="BX28" s="391">
        <f t="shared" si="44"/>
        <v>-2.3622117647058821E-2</v>
      </c>
      <c r="BY28" s="388">
        <f t="shared" si="45"/>
        <v>-0.2219350134724638</v>
      </c>
      <c r="BZ28" s="409">
        <f t="shared" si="184"/>
        <v>0.71111111111111092</v>
      </c>
      <c r="CB28" s="279">
        <f t="shared" si="185"/>
        <v>-0.38716395604395598</v>
      </c>
      <c r="CC28" s="64">
        <f t="shared" si="15"/>
        <v>-0.40692089155154337</v>
      </c>
      <c r="CD28" s="64">
        <f t="shared" si="16"/>
        <v>-0.42667782705913077</v>
      </c>
      <c r="CE28" s="64">
        <f t="shared" si="17"/>
        <v>-0.46707891376058008</v>
      </c>
      <c r="CF28" s="64">
        <f t="shared" si="18"/>
        <v>-0.50748000046202935</v>
      </c>
      <c r="CG28" s="64">
        <f t="shared" si="19"/>
        <v>-0.54788108716347861</v>
      </c>
      <c r="CH28" s="64">
        <f t="shared" si="20"/>
        <v>-0.58828217386492787</v>
      </c>
      <c r="CI28">
        <v>2038</v>
      </c>
      <c r="CJ28" s="240"/>
      <c r="CL28">
        <v>2038</v>
      </c>
      <c r="CM28" s="3">
        <f t="shared" si="46"/>
        <v>0.95</v>
      </c>
      <c r="CN28" s="64">
        <f t="shared" si="21"/>
        <v>0.93271999999999999</v>
      </c>
      <c r="CO28" s="64">
        <f t="shared" si="21"/>
        <v>0.92871999999999999</v>
      </c>
      <c r="CP28" s="64">
        <f t="shared" si="21"/>
        <v>0.91660461538461535</v>
      </c>
      <c r="CQ28" s="64">
        <f t="shared" si="21"/>
        <v>0.88767604395604394</v>
      </c>
      <c r="CR28" s="64">
        <f t="shared" si="22"/>
        <v>0.85745706585385417</v>
      </c>
      <c r="CS28" s="64">
        <f t="shared" si="22"/>
        <v>0.79482932862757683</v>
      </c>
      <c r="CT28" s="64">
        <f t="shared" si="22"/>
        <v>0.64767604395604395</v>
      </c>
      <c r="CU28" s="64">
        <f t="shared" si="23"/>
        <v>0.56283604395604403</v>
      </c>
      <c r="CV28" s="64">
        <f t="shared" si="23"/>
        <v>0.57082098513251467</v>
      </c>
      <c r="CW28" s="65">
        <f t="shared" si="47"/>
        <v>0.54307910844845675</v>
      </c>
      <c r="CX28" s="64">
        <f t="shared" si="48"/>
        <v>0.57880592630898531</v>
      </c>
      <c r="CY28" s="65">
        <f t="shared" si="49"/>
        <v>0.52332217294086936</v>
      </c>
      <c r="CZ28" s="64">
        <f t="shared" si="50"/>
        <v>0.593888592975652</v>
      </c>
      <c r="DA28" s="65">
        <f t="shared" si="51"/>
        <v>0.48292108623942009</v>
      </c>
      <c r="DB28" s="64">
        <f t="shared" si="52"/>
        <v>0.60897125964231869</v>
      </c>
      <c r="DC28" s="65">
        <f t="shared" si="53"/>
        <v>0.44251999953797083</v>
      </c>
      <c r="DD28" s="64">
        <f t="shared" si="54"/>
        <v>0.62405392630898537</v>
      </c>
      <c r="DE28" s="65">
        <f t="shared" si="55"/>
        <v>0.40211891283652157</v>
      </c>
      <c r="DF28" s="64">
        <f t="shared" si="56"/>
        <v>0.63913659297565206</v>
      </c>
      <c r="DG28" s="65">
        <f t="shared" si="57"/>
        <v>0.36171782613507231</v>
      </c>
      <c r="DL28">
        <v>2038</v>
      </c>
      <c r="DM28" s="64">
        <f t="shared" si="58"/>
        <v>0.36171782613507231</v>
      </c>
      <c r="DN28" s="64">
        <f t="shared" si="59"/>
        <v>0.40211891283652157</v>
      </c>
      <c r="DO28" s="64">
        <f t="shared" si="60"/>
        <v>0.44251999953797083</v>
      </c>
      <c r="DP28" s="64">
        <f t="shared" si="61"/>
        <v>0.48292108623942009</v>
      </c>
      <c r="DQ28" s="64">
        <f t="shared" si="62"/>
        <v>0.52332217294086936</v>
      </c>
      <c r="DR28" s="64">
        <f t="shared" si="63"/>
        <v>0.54307910844845675</v>
      </c>
      <c r="DS28" s="64">
        <f t="shared" si="24"/>
        <v>0.56283604395604403</v>
      </c>
      <c r="DT28" s="64">
        <f t="shared" si="25"/>
        <v>0.64767604395604395</v>
      </c>
      <c r="DU28" s="64">
        <f t="shared" si="26"/>
        <v>0.79482932862757683</v>
      </c>
      <c r="DV28" s="64">
        <f t="shared" si="27"/>
        <v>0.85745706585385417</v>
      </c>
      <c r="DW28" s="64">
        <f t="shared" si="28"/>
        <v>0.88767604395604394</v>
      </c>
      <c r="DX28" s="64">
        <f t="shared" si="29"/>
        <v>0.91660461538461535</v>
      </c>
      <c r="DY28" s="64">
        <f t="shared" si="30"/>
        <v>0.92871999999999999</v>
      </c>
      <c r="DZ28" s="64">
        <f t="shared" si="31"/>
        <v>0.93271999999999999</v>
      </c>
      <c r="EA28" s="3">
        <f t="shared" si="64"/>
        <v>0.95</v>
      </c>
      <c r="EB28">
        <v>2038</v>
      </c>
      <c r="EC28" s="269">
        <f t="shared" si="65"/>
        <v>0.36171782613507231</v>
      </c>
      <c r="ED28" s="269">
        <f t="shared" si="66"/>
        <v>0.05</v>
      </c>
      <c r="EE28" s="64">
        <f t="shared" si="186"/>
        <v>4.0401086701449263E-2</v>
      </c>
      <c r="EF28" s="64">
        <f t="shared" si="186"/>
        <v>4.0401086701449263E-2</v>
      </c>
      <c r="EG28" s="64">
        <f t="shared" si="186"/>
        <v>4.0401086701449263E-2</v>
      </c>
      <c r="EH28" s="64">
        <f t="shared" si="186"/>
        <v>4.0401086701449263E-2</v>
      </c>
      <c r="EI28" s="64">
        <f t="shared" si="186"/>
        <v>1.9756935507587392E-2</v>
      </c>
      <c r="EJ28" s="64">
        <f t="shared" si="186"/>
        <v>1.9756935507587281E-2</v>
      </c>
      <c r="EK28" s="64">
        <f t="shared" si="186"/>
        <v>8.4839999999999915E-2</v>
      </c>
      <c r="EL28" s="64">
        <f t="shared" si="186"/>
        <v>0.14715328467153288</v>
      </c>
      <c r="EM28" s="64">
        <f t="shared" si="186"/>
        <v>6.2627737226277347E-2</v>
      </c>
      <c r="EN28" s="64">
        <f t="shared" si="186"/>
        <v>3.0218978102189764E-2</v>
      </c>
      <c r="EO28" s="64">
        <f t="shared" si="186"/>
        <v>2.8928571428571415E-2</v>
      </c>
      <c r="EP28" s="64">
        <f t="shared" si="186"/>
        <v>1.2115384615384639E-2</v>
      </c>
      <c r="EQ28" s="64">
        <f t="shared" si="186"/>
        <v>4.0000000000000036E-3</v>
      </c>
      <c r="ER28" s="64">
        <f t="shared" si="186"/>
        <v>1.7279999999999962E-2</v>
      </c>
      <c r="EX28" s="89">
        <v>2038</v>
      </c>
      <c r="EY28" s="278">
        <f t="shared" si="67"/>
        <v>1.07</v>
      </c>
      <c r="EZ28" s="278"/>
      <c r="FA28" s="278">
        <f t="shared" si="68"/>
        <v>0.41112396527128059</v>
      </c>
      <c r="FB28" s="278">
        <f t="shared" si="33"/>
        <v>0.05</v>
      </c>
      <c r="FC28" s="64">
        <f t="shared" si="69"/>
        <v>0.31070901886144942</v>
      </c>
      <c r="FD28" s="64">
        <f t="shared" si="70"/>
        <v>9.5641850980392219E-3</v>
      </c>
      <c r="FE28" s="64">
        <f t="shared" si="71"/>
        <v>0.16481167883211686</v>
      </c>
      <c r="FF28" s="64">
        <f t="shared" si="72"/>
        <v>7.0143065693430651E-2</v>
      </c>
      <c r="FG28" s="64">
        <f t="shared" si="73"/>
        <v>3.3845255474452544E-2</v>
      </c>
      <c r="FH28" s="64">
        <f t="shared" si="74"/>
        <v>3.2399999999999991E-2</v>
      </c>
      <c r="FI28" s="64">
        <f t="shared" si="75"/>
        <v>1.35692307692308E-2</v>
      </c>
      <c r="FJ28" s="64">
        <f t="shared" si="76"/>
        <v>4.4800000000000057E-3</v>
      </c>
      <c r="FK28" s="280">
        <f t="shared" si="77"/>
        <v>1.9353599999999964E-2</v>
      </c>
      <c r="FL28" s="64"/>
      <c r="FM28" s="89">
        <v>2038</v>
      </c>
      <c r="FN28" s="278">
        <f t="shared" si="78"/>
        <v>1.07</v>
      </c>
      <c r="FP28" s="278">
        <f t="shared" si="79"/>
        <v>0.45637318237690383</v>
      </c>
      <c r="FQ28" s="278">
        <f t="shared" si="80"/>
        <v>0.05</v>
      </c>
      <c r="FR28" s="64">
        <f t="shared" si="81"/>
        <v>0.24856721508915952</v>
      </c>
      <c r="FS28" s="64">
        <f t="shared" si="82"/>
        <v>2.6456771764705886E-2</v>
      </c>
      <c r="FT28" s="64">
        <f t="shared" si="83"/>
        <v>0.16481167883211686</v>
      </c>
      <c r="FU28" s="64">
        <f t="shared" si="84"/>
        <v>7.0143065693430651E-2</v>
      </c>
      <c r="FV28" s="64">
        <f t="shared" si="85"/>
        <v>3.3845255474452544E-2</v>
      </c>
      <c r="FW28" s="64">
        <f t="shared" si="86"/>
        <v>3.2399999999999991E-2</v>
      </c>
      <c r="FX28" s="64">
        <f t="shared" si="87"/>
        <v>1.35692307692308E-2</v>
      </c>
      <c r="FY28" s="64">
        <f t="shared" si="88"/>
        <v>4.4800000000000057E-3</v>
      </c>
      <c r="FZ28" s="280">
        <f t="shared" si="89"/>
        <v>1.9353599999999964E-2</v>
      </c>
      <c r="GA28" s="64"/>
      <c r="GB28" s="89">
        <v>2038</v>
      </c>
      <c r="GC28" s="278">
        <f t="shared" si="90"/>
        <v>1.07</v>
      </c>
      <c r="GE28" s="278">
        <f t="shared" si="91"/>
        <v>0.50162239948252696</v>
      </c>
      <c r="GF28" s="278">
        <f t="shared" si="92"/>
        <v>0.05</v>
      </c>
      <c r="GG28" s="64">
        <f t="shared" si="93"/>
        <v>0.18642541131686965</v>
      </c>
      <c r="GH28" s="64">
        <f t="shared" si="94"/>
        <v>4.3349358431372553E-2</v>
      </c>
      <c r="GI28" s="64">
        <f t="shared" si="95"/>
        <v>0.16481167883211686</v>
      </c>
      <c r="GJ28" s="64">
        <f t="shared" si="96"/>
        <v>7.0143065693430651E-2</v>
      </c>
      <c r="GK28" s="64">
        <f t="shared" si="97"/>
        <v>3.3845255474452544E-2</v>
      </c>
      <c r="GL28" s="64">
        <f t="shared" si="98"/>
        <v>3.2399999999999991E-2</v>
      </c>
      <c r="GM28" s="64">
        <f t="shared" si="99"/>
        <v>1.35692307692308E-2</v>
      </c>
      <c r="GN28" s="64">
        <f t="shared" si="100"/>
        <v>4.4800000000000057E-3</v>
      </c>
      <c r="GO28" s="280">
        <f t="shared" si="101"/>
        <v>1.9353599999999964E-2</v>
      </c>
      <c r="GP28" s="64"/>
      <c r="GQ28" s="89">
        <v>2038</v>
      </c>
      <c r="GR28" s="278">
        <f t="shared" si="102"/>
        <v>1.07</v>
      </c>
      <c r="GT28" s="278">
        <f t="shared" si="103"/>
        <v>0.54687161658815031</v>
      </c>
      <c r="GU28" s="278">
        <f t="shared" si="104"/>
        <v>0.05</v>
      </c>
      <c r="GV28" s="64">
        <f t="shared" si="105"/>
        <v>0.12428360754457976</v>
      </c>
      <c r="GW28" s="64">
        <f t="shared" si="106"/>
        <v>6.0241945098039221E-2</v>
      </c>
      <c r="GX28" s="64">
        <f t="shared" si="107"/>
        <v>0.16481167883211686</v>
      </c>
      <c r="GY28" s="64">
        <f t="shared" si="108"/>
        <v>7.0143065693430651E-2</v>
      </c>
      <c r="GZ28" s="64">
        <f t="shared" si="109"/>
        <v>3.3845255474452544E-2</v>
      </c>
      <c r="HA28" s="64">
        <f t="shared" si="110"/>
        <v>3.2399999999999991E-2</v>
      </c>
      <c r="HB28" s="64">
        <f t="shared" si="111"/>
        <v>1.35692307692308E-2</v>
      </c>
      <c r="HC28" s="64">
        <f t="shared" si="112"/>
        <v>4.4800000000000057E-3</v>
      </c>
      <c r="HD28" s="280">
        <f t="shared" si="113"/>
        <v>1.9353599999999964E-2</v>
      </c>
      <c r="HE28" s="64"/>
      <c r="HF28" s="89">
        <v>2038</v>
      </c>
      <c r="HG28" s="278">
        <f t="shared" si="114"/>
        <v>1.07</v>
      </c>
      <c r="HI28" s="278">
        <f t="shared" si="115"/>
        <v>0.59212083369377355</v>
      </c>
      <c r="HJ28" s="278">
        <f t="shared" si="116"/>
        <v>0.05</v>
      </c>
      <c r="HK28" s="64">
        <f t="shared" si="117"/>
        <v>6.2141803772289866E-2</v>
      </c>
      <c r="HL28" s="64">
        <f t="shared" si="118"/>
        <v>7.7134531764705888E-2</v>
      </c>
      <c r="HM28" s="64">
        <f t="shared" si="119"/>
        <v>0.16481167883211686</v>
      </c>
      <c r="HN28" s="64">
        <f t="shared" si="120"/>
        <v>7.0143065693430651E-2</v>
      </c>
      <c r="HO28" s="64">
        <f t="shared" si="121"/>
        <v>3.3845255474452544E-2</v>
      </c>
      <c r="HP28" s="64">
        <f t="shared" si="122"/>
        <v>3.2399999999999991E-2</v>
      </c>
      <c r="HQ28" s="64">
        <f t="shared" si="123"/>
        <v>1.35692307692308E-2</v>
      </c>
      <c r="HR28" s="64">
        <f t="shared" si="124"/>
        <v>4.4800000000000057E-3</v>
      </c>
      <c r="HS28" s="280">
        <f t="shared" si="125"/>
        <v>1.9353599999999964E-2</v>
      </c>
      <c r="HT28" s="64"/>
      <c r="HU28" s="89">
        <v>2038</v>
      </c>
      <c r="HV28" s="278">
        <f t="shared" si="126"/>
        <v>1.07</v>
      </c>
      <c r="HX28" s="278">
        <f t="shared" si="127"/>
        <v>0.61424860146227145</v>
      </c>
      <c r="HY28" s="278">
        <f t="shared" si="128"/>
        <v>0.05</v>
      </c>
      <c r="HZ28" s="64">
        <f t="shared" si="129"/>
        <v>3.1070901886144916E-2</v>
      </c>
      <c r="IA28" s="64">
        <f t="shared" si="130"/>
        <v>8.6077665882352938E-2</v>
      </c>
      <c r="IB28" s="64">
        <f t="shared" si="131"/>
        <v>0.16481167883211686</v>
      </c>
      <c r="IC28" s="64">
        <f t="shared" si="132"/>
        <v>7.0143065693430651E-2</v>
      </c>
      <c r="ID28" s="64">
        <f t="shared" si="133"/>
        <v>3.3845255474452544E-2</v>
      </c>
      <c r="IE28" s="64">
        <f t="shared" si="134"/>
        <v>3.2399999999999991E-2</v>
      </c>
      <c r="IF28" s="64">
        <f t="shared" si="135"/>
        <v>1.35692307692308E-2</v>
      </c>
      <c r="IG28" s="64">
        <f t="shared" si="136"/>
        <v>4.4800000000000057E-3</v>
      </c>
      <c r="IH28" s="280">
        <f t="shared" si="137"/>
        <v>1.9353599999999964E-2</v>
      </c>
      <c r="II28" s="64"/>
      <c r="IJ28" s="89">
        <v>2038</v>
      </c>
      <c r="IK28" s="278">
        <f t="shared" si="138"/>
        <v>1.07</v>
      </c>
      <c r="IM28" s="278">
        <f t="shared" si="139"/>
        <v>0.63637636923076935</v>
      </c>
      <c r="IN28" s="278">
        <f t="shared" si="140"/>
        <v>0.05</v>
      </c>
      <c r="IO28" s="64">
        <v>0</v>
      </c>
      <c r="IP28" s="64">
        <f t="shared" si="141"/>
        <v>9.5020799999999989E-2</v>
      </c>
      <c r="IQ28" s="64">
        <f t="shared" si="142"/>
        <v>0.16481167883211686</v>
      </c>
      <c r="IR28" s="64">
        <f t="shared" si="143"/>
        <v>7.0143065693430651E-2</v>
      </c>
      <c r="IS28" s="64">
        <f t="shared" si="144"/>
        <v>3.3845255474452544E-2</v>
      </c>
      <c r="IT28" s="64">
        <f t="shared" si="145"/>
        <v>3.2399999999999991E-2</v>
      </c>
      <c r="IU28" s="64">
        <f t="shared" si="146"/>
        <v>1.35692307692308E-2</v>
      </c>
      <c r="IV28" s="64">
        <f t="shared" si="147"/>
        <v>4.4800000000000057E-3</v>
      </c>
      <c r="IW28" s="280">
        <f t="shared" si="148"/>
        <v>1.9353599999999964E-2</v>
      </c>
      <c r="IX28" s="64"/>
      <c r="IY28" s="3">
        <f t="shared" si="149"/>
        <v>0.3100000000000005</v>
      </c>
      <c r="IZ28">
        <f t="shared" si="34"/>
        <v>2038</v>
      </c>
      <c r="JA28" s="3">
        <f t="shared" si="150"/>
        <v>15.331387464468865</v>
      </c>
      <c r="JB28" s="353">
        <f>HLOOKUP('1 StrategyMix for CarbonTargets'!$V$46,'Stress calculations'!JI$8:JU$39,21,FALSE)</f>
        <v>14.790174273170805</v>
      </c>
      <c r="JC28" s="3">
        <f t="shared" si="151"/>
        <v>19.189999999999998</v>
      </c>
      <c r="JD28" s="353">
        <f t="shared" si="152"/>
        <v>20.2</v>
      </c>
      <c r="JE28" s="418">
        <f t="shared" si="35"/>
        <v>0.30999999999999994</v>
      </c>
      <c r="JF28" s="368">
        <f t="shared" si="153"/>
        <v>10.669999999999995</v>
      </c>
      <c r="JG28" s="369">
        <f t="shared" si="154"/>
        <v>11.231578947368416</v>
      </c>
      <c r="JH28" s="363">
        <f t="shared" si="155"/>
        <v>13.728436354384225</v>
      </c>
      <c r="JI28" s="362">
        <f t="shared" si="36"/>
        <v>14.450985636193922</v>
      </c>
      <c r="JJ28" s="366">
        <f t="shared" si="37"/>
        <v>14.050665559512264</v>
      </c>
      <c r="JK28" s="367">
        <f t="shared" si="8"/>
        <v>14.790174273170805</v>
      </c>
      <c r="JL28" s="363">
        <f t="shared" si="38"/>
        <v>14.372894764640302</v>
      </c>
      <c r="JM28" s="362">
        <f t="shared" si="39"/>
        <v>15.129362910147687</v>
      </c>
      <c r="JN28" s="366">
        <f t="shared" si="156"/>
        <v>14.695123969768337</v>
      </c>
      <c r="JO28" s="367">
        <f t="shared" si="40"/>
        <v>15.468551547124566</v>
      </c>
      <c r="JP28" s="363">
        <f t="shared" si="157"/>
        <v>15.017353174896382</v>
      </c>
      <c r="JQ28" s="362">
        <f t="shared" si="41"/>
        <v>15.807740184101455</v>
      </c>
      <c r="JR28" s="366">
        <f t="shared" si="158"/>
        <v>15.174370319682621</v>
      </c>
      <c r="JS28" s="367">
        <f t="shared" si="42"/>
        <v>15.973021389139602</v>
      </c>
      <c r="JT28" s="363">
        <f t="shared" si="159"/>
        <v>15.331387464468865</v>
      </c>
      <c r="JU28" s="362">
        <f t="shared" si="43"/>
        <v>16.138302594177752</v>
      </c>
    </row>
    <row r="29" spans="1:283" ht="14.5" customHeight="1">
      <c r="A29" s="690" t="s">
        <v>107</v>
      </c>
      <c r="B29" s="690"/>
      <c r="C29" s="690"/>
      <c r="D29" s="690"/>
      <c r="E29" s="690"/>
      <c r="F29" s="690"/>
      <c r="G29" s="1"/>
      <c r="H29" s="723" t="s">
        <v>115</v>
      </c>
      <c r="I29" s="583"/>
      <c r="J29" s="724"/>
      <c r="AO29" s="89">
        <v>2039</v>
      </c>
      <c r="AP29" s="170">
        <f t="shared" si="160"/>
        <v>-1.8240000000000003E-2</v>
      </c>
      <c r="AQ29" s="170">
        <f t="shared" si="160"/>
        <v>-4.250000000000002E-3</v>
      </c>
      <c r="AR29" s="170">
        <f t="shared" si="160"/>
        <v>-1.2980769230769228E-2</v>
      </c>
      <c r="AS29" s="170">
        <f t="shared" si="160"/>
        <v>-3.2142857142857147E-2</v>
      </c>
      <c r="AU29" s="170">
        <f t="shared" si="161"/>
        <v>-3.1897810218978098E-2</v>
      </c>
      <c r="AV29" s="170">
        <f t="shared" si="162"/>
        <v>-6.6107055961070568E-2</v>
      </c>
      <c r="AW29" s="170">
        <f t="shared" si="163"/>
        <v>-0.15532846715328469</v>
      </c>
      <c r="AY29" s="170">
        <f t="shared" si="164"/>
        <v>-8.4839999999999971E-2</v>
      </c>
      <c r="AZ29" s="278">
        <f t="shared" si="165"/>
        <v>8.4839999999999968E-3</v>
      </c>
      <c r="BA29" s="284">
        <f t="shared" si="166"/>
        <v>-3.1841706156521717E-2</v>
      </c>
      <c r="BB29" s="276">
        <f t="shared" si="167"/>
        <v>-3.6639486028985487E-2</v>
      </c>
      <c r="BC29" s="277">
        <f t="shared" si="168"/>
        <v>-3.00727224811594E-2</v>
      </c>
      <c r="BD29" s="278">
        <f t="shared" si="169"/>
        <v>8.4839999999999968E-3</v>
      </c>
      <c r="BE29" s="284">
        <f t="shared" si="170"/>
        <v>-3.1841706156521758E-2</v>
      </c>
      <c r="BF29" s="276">
        <f t="shared" si="171"/>
        <v>-3.6639486028985487E-2</v>
      </c>
      <c r="BG29" s="277">
        <f t="shared" si="9"/>
        <v>-3.0072722481159438E-2</v>
      </c>
      <c r="BH29" s="278">
        <f t="shared" si="172"/>
        <v>1.6025333333333329E-2</v>
      </c>
      <c r="BI29" s="284">
        <f t="shared" si="173"/>
        <v>-6.3683412313043503E-2</v>
      </c>
      <c r="BJ29" s="276">
        <f t="shared" si="174"/>
        <v>-7.3278972057971084E-2</v>
      </c>
      <c r="BK29" s="277">
        <f t="shared" si="10"/>
        <v>-6.014544496231887E-2</v>
      </c>
      <c r="BL29" s="278">
        <f t="shared" si="175"/>
        <v>1.6025333333333329E-2</v>
      </c>
      <c r="BM29" s="284">
        <f t="shared" si="176"/>
        <v>-6.3683412313043461E-2</v>
      </c>
      <c r="BN29" s="276">
        <f t="shared" si="177"/>
        <v>-7.3278972057970959E-2</v>
      </c>
      <c r="BO29" s="277">
        <f t="shared" si="11"/>
        <v>-6.0145444962318835E-2</v>
      </c>
      <c r="BP29" s="278">
        <f t="shared" si="178"/>
        <v>1.6025333333333329E-2</v>
      </c>
      <c r="BQ29" s="284">
        <f t="shared" si="179"/>
        <v>-6.3683412313043516E-2</v>
      </c>
      <c r="BR29" s="276">
        <f t="shared" si="180"/>
        <v>-7.3278972057971015E-2</v>
      </c>
      <c r="BS29" s="277">
        <f t="shared" si="12"/>
        <v>-6.0145444962318849E-2</v>
      </c>
      <c r="BT29" s="278">
        <f t="shared" si="181"/>
        <v>1.6025333333333329E-2</v>
      </c>
      <c r="BU29" s="284">
        <f t="shared" si="182"/>
        <v>-6.3683412313043461E-2</v>
      </c>
      <c r="BV29" s="276">
        <f t="shared" si="183"/>
        <v>-7.3278972057971001E-2</v>
      </c>
      <c r="BW29" s="278">
        <f t="shared" si="13"/>
        <v>-6.0145444962318828E-2</v>
      </c>
      <c r="BX29" s="391">
        <f t="shared" si="44"/>
        <v>-1.9796000000000001E-2</v>
      </c>
      <c r="BY29" s="388">
        <f t="shared" si="45"/>
        <v>-0.2405817798492754</v>
      </c>
      <c r="BZ29" s="409">
        <f t="shared" si="184"/>
        <v>0.75555555555555531</v>
      </c>
      <c r="CB29" s="279">
        <f t="shared" si="185"/>
        <v>-0.40578695970695972</v>
      </c>
      <c r="CC29" s="64">
        <f t="shared" si="15"/>
        <v>-0.42737568218811911</v>
      </c>
      <c r="CD29" s="64">
        <f t="shared" si="16"/>
        <v>-0.44896440466927856</v>
      </c>
      <c r="CE29" s="64">
        <f t="shared" si="17"/>
        <v>-0.49308451629826411</v>
      </c>
      <c r="CF29" s="64">
        <f t="shared" si="18"/>
        <v>-0.53720462792724966</v>
      </c>
      <c r="CG29" s="64">
        <f t="shared" si="19"/>
        <v>-0.5813247395562352</v>
      </c>
      <c r="CH29" s="64">
        <f t="shared" si="20"/>
        <v>-0.62544485118522064</v>
      </c>
      <c r="CI29">
        <v>2039</v>
      </c>
      <c r="CJ29" s="240"/>
      <c r="CL29">
        <v>2039</v>
      </c>
      <c r="CM29" s="3">
        <f t="shared" si="46"/>
        <v>0.95</v>
      </c>
      <c r="CN29" s="64">
        <f t="shared" si="21"/>
        <v>0.93175999999999992</v>
      </c>
      <c r="CO29" s="64">
        <f t="shared" si="21"/>
        <v>0.92750999999999995</v>
      </c>
      <c r="CP29" s="64">
        <f t="shared" si="21"/>
        <v>0.91452923076923076</v>
      </c>
      <c r="CQ29" s="64">
        <f t="shared" si="21"/>
        <v>0.88238637362637362</v>
      </c>
      <c r="CR29" s="64">
        <f t="shared" si="22"/>
        <v>0.85048856340739554</v>
      </c>
      <c r="CS29" s="64">
        <f t="shared" si="22"/>
        <v>0.78438150744632495</v>
      </c>
      <c r="CT29" s="64">
        <f t="shared" si="22"/>
        <v>0.62905304029304032</v>
      </c>
      <c r="CU29" s="64">
        <f t="shared" si="23"/>
        <v>0.5442130402930403</v>
      </c>
      <c r="CV29" s="64">
        <f t="shared" si="23"/>
        <v>0.55269704029304034</v>
      </c>
      <c r="CW29" s="65">
        <f t="shared" si="47"/>
        <v>0.5226243178118809</v>
      </c>
      <c r="CX29" s="64">
        <f t="shared" si="48"/>
        <v>0.56118104029304039</v>
      </c>
      <c r="CY29" s="65">
        <f t="shared" si="49"/>
        <v>0.50103559533072151</v>
      </c>
      <c r="CZ29" s="64">
        <f t="shared" si="50"/>
        <v>0.57720637362637373</v>
      </c>
      <c r="DA29" s="65">
        <f t="shared" si="51"/>
        <v>0.45691548370173596</v>
      </c>
      <c r="DB29" s="64">
        <f t="shared" si="52"/>
        <v>0.59323170695970706</v>
      </c>
      <c r="DC29" s="65">
        <f t="shared" si="53"/>
        <v>0.41279537207275047</v>
      </c>
      <c r="DD29" s="64">
        <f t="shared" si="54"/>
        <v>0.6092570402930404</v>
      </c>
      <c r="DE29" s="65">
        <f t="shared" si="55"/>
        <v>0.36867526044376497</v>
      </c>
      <c r="DF29" s="64">
        <f t="shared" si="56"/>
        <v>0.62528237362637373</v>
      </c>
      <c r="DG29" s="65">
        <f t="shared" si="57"/>
        <v>0.32455514881477948</v>
      </c>
      <c r="DL29">
        <v>2039</v>
      </c>
      <c r="DM29" s="64">
        <f t="shared" si="58"/>
        <v>0.32455514881477948</v>
      </c>
      <c r="DN29" s="64">
        <f t="shared" si="59"/>
        <v>0.36867526044376497</v>
      </c>
      <c r="DO29" s="64">
        <f t="shared" si="60"/>
        <v>0.41279537207275047</v>
      </c>
      <c r="DP29" s="64">
        <f t="shared" si="61"/>
        <v>0.45691548370173596</v>
      </c>
      <c r="DQ29" s="64">
        <f t="shared" si="62"/>
        <v>0.50103559533072151</v>
      </c>
      <c r="DR29" s="64">
        <f t="shared" si="63"/>
        <v>0.5226243178118809</v>
      </c>
      <c r="DS29" s="64">
        <f t="shared" si="24"/>
        <v>0.5442130402930403</v>
      </c>
      <c r="DT29" s="64">
        <f t="shared" si="25"/>
        <v>0.62905304029304032</v>
      </c>
      <c r="DU29" s="64">
        <f t="shared" si="26"/>
        <v>0.78438150744632495</v>
      </c>
      <c r="DV29" s="64">
        <f t="shared" si="27"/>
        <v>0.85048856340739554</v>
      </c>
      <c r="DW29" s="64">
        <f t="shared" si="28"/>
        <v>0.88238637362637362</v>
      </c>
      <c r="DX29" s="64">
        <f t="shared" si="29"/>
        <v>0.91452923076923076</v>
      </c>
      <c r="DY29" s="64">
        <f t="shared" si="30"/>
        <v>0.92750999999999995</v>
      </c>
      <c r="DZ29" s="64">
        <f t="shared" si="31"/>
        <v>0.93175999999999992</v>
      </c>
      <c r="EA29" s="3">
        <f t="shared" si="64"/>
        <v>0.95</v>
      </c>
      <c r="EB29">
        <v>2039</v>
      </c>
      <c r="EC29" s="269">
        <f t="shared" si="65"/>
        <v>0.32455514881477954</v>
      </c>
      <c r="ED29" s="269">
        <f t="shared" si="66"/>
        <v>0.05</v>
      </c>
      <c r="EE29" s="64">
        <f t="shared" si="186"/>
        <v>4.4120111628985492E-2</v>
      </c>
      <c r="EF29" s="64">
        <f t="shared" si="186"/>
        <v>4.4120111628985492E-2</v>
      </c>
      <c r="EG29" s="64">
        <f t="shared" si="186"/>
        <v>4.4120111628985492E-2</v>
      </c>
      <c r="EH29" s="64">
        <f t="shared" si="186"/>
        <v>4.4120111628985548E-2</v>
      </c>
      <c r="EI29" s="64">
        <f t="shared" si="186"/>
        <v>2.1588722481159395E-2</v>
      </c>
      <c r="EJ29" s="64">
        <f t="shared" si="186"/>
        <v>2.1588722481159395E-2</v>
      </c>
      <c r="EK29" s="64">
        <f t="shared" si="186"/>
        <v>8.4840000000000027E-2</v>
      </c>
      <c r="EL29" s="64">
        <f t="shared" si="186"/>
        <v>0.15532846715328463</v>
      </c>
      <c r="EM29" s="64">
        <f t="shared" si="186"/>
        <v>6.6107055961070582E-2</v>
      </c>
      <c r="EN29" s="64">
        <f t="shared" si="186"/>
        <v>3.1897810218978084E-2</v>
      </c>
      <c r="EO29" s="64">
        <f t="shared" si="186"/>
        <v>3.214285714285714E-2</v>
      </c>
      <c r="EP29" s="64">
        <f t="shared" si="186"/>
        <v>1.2980769230769185E-2</v>
      </c>
      <c r="EQ29" s="64">
        <f t="shared" si="186"/>
        <v>4.249999999999976E-3</v>
      </c>
      <c r="ER29" s="64">
        <f t="shared" si="186"/>
        <v>1.8240000000000034E-2</v>
      </c>
      <c r="EX29" s="89">
        <v>2039</v>
      </c>
      <c r="EY29" s="278">
        <f t="shared" si="67"/>
        <v>1.0766666666666667</v>
      </c>
      <c r="EZ29" s="278"/>
      <c r="FA29" s="278">
        <f t="shared" si="68"/>
        <v>0.37199880099798477</v>
      </c>
      <c r="FB29" s="278">
        <f t="shared" si="33"/>
        <v>0.05</v>
      </c>
      <c r="FC29" s="64">
        <f t="shared" si="69"/>
        <v>0.33881933995439611</v>
      </c>
      <c r="FD29" s="64">
        <f t="shared" si="70"/>
        <v>4.2482844444444506E-3</v>
      </c>
      <c r="FE29" s="64">
        <f t="shared" si="71"/>
        <v>0.17500340632603403</v>
      </c>
      <c r="FF29" s="64">
        <f t="shared" si="72"/>
        <v>7.4480616382806189E-2</v>
      </c>
      <c r="FG29" s="64">
        <f t="shared" si="73"/>
        <v>3.5938199513381973E-2</v>
      </c>
      <c r="FH29" s="64">
        <f t="shared" si="74"/>
        <v>3.6214285714285713E-2</v>
      </c>
      <c r="FI29" s="64">
        <f t="shared" si="75"/>
        <v>1.4624999999999949E-2</v>
      </c>
      <c r="FJ29" s="64">
        <f t="shared" si="76"/>
        <v>4.7883333333333068E-3</v>
      </c>
      <c r="FK29" s="280">
        <f t="shared" si="77"/>
        <v>2.0550400000000038E-2</v>
      </c>
      <c r="FL29" s="64"/>
      <c r="FM29" s="89">
        <v>2039</v>
      </c>
      <c r="FN29" s="278">
        <f t="shared" si="78"/>
        <v>1.0766666666666667</v>
      </c>
      <c r="FP29" s="278">
        <f t="shared" si="79"/>
        <v>0.42170746009997506</v>
      </c>
      <c r="FQ29" s="278">
        <f t="shared" si="80"/>
        <v>0.05</v>
      </c>
      <c r="FR29" s="64">
        <f t="shared" si="81"/>
        <v>0.27105547196351698</v>
      </c>
      <c r="FS29" s="64">
        <f t="shared" si="82"/>
        <v>2.2303493333333334E-2</v>
      </c>
      <c r="FT29" s="64">
        <f t="shared" si="83"/>
        <v>0.17500340632603403</v>
      </c>
      <c r="FU29" s="64">
        <f t="shared" si="84"/>
        <v>7.4480616382806189E-2</v>
      </c>
      <c r="FV29" s="64">
        <f t="shared" si="85"/>
        <v>3.5938199513381973E-2</v>
      </c>
      <c r="FW29" s="64">
        <f t="shared" si="86"/>
        <v>3.6214285714285713E-2</v>
      </c>
      <c r="FX29" s="64">
        <f t="shared" si="87"/>
        <v>1.4624999999999949E-2</v>
      </c>
      <c r="FY29" s="64">
        <f t="shared" si="88"/>
        <v>4.7883333333333068E-3</v>
      </c>
      <c r="FZ29" s="280">
        <f t="shared" si="89"/>
        <v>2.0550400000000038E-2</v>
      </c>
      <c r="GA29" s="64"/>
      <c r="GB29" s="89">
        <v>2039</v>
      </c>
      <c r="GC29" s="278">
        <f t="shared" si="90"/>
        <v>1.0766666666666667</v>
      </c>
      <c r="GE29" s="278">
        <f t="shared" si="91"/>
        <v>0.47141611920196536</v>
      </c>
      <c r="GF29" s="278">
        <f t="shared" si="92"/>
        <v>0.05</v>
      </c>
      <c r="GG29" s="64">
        <f t="shared" si="93"/>
        <v>0.20329160397263771</v>
      </c>
      <c r="GH29" s="64">
        <f t="shared" si="94"/>
        <v>4.0358702222222223E-2</v>
      </c>
      <c r="GI29" s="64">
        <f t="shared" si="95"/>
        <v>0.17500340632603403</v>
      </c>
      <c r="GJ29" s="64">
        <f t="shared" si="96"/>
        <v>7.4480616382806189E-2</v>
      </c>
      <c r="GK29" s="64">
        <f t="shared" si="97"/>
        <v>3.5938199513381973E-2</v>
      </c>
      <c r="GL29" s="64">
        <f t="shared" si="98"/>
        <v>3.6214285714285713E-2</v>
      </c>
      <c r="GM29" s="64">
        <f t="shared" si="99"/>
        <v>1.4624999999999949E-2</v>
      </c>
      <c r="GN29" s="64">
        <f t="shared" si="100"/>
        <v>4.7883333333333068E-3</v>
      </c>
      <c r="GO29" s="280">
        <f t="shared" si="101"/>
        <v>2.0550400000000038E-2</v>
      </c>
      <c r="GP29" s="64"/>
      <c r="GQ29" s="89">
        <v>2039</v>
      </c>
      <c r="GR29" s="278">
        <f t="shared" si="102"/>
        <v>1.0766666666666667</v>
      </c>
      <c r="GT29" s="278">
        <f t="shared" si="103"/>
        <v>0.52112477830395587</v>
      </c>
      <c r="GU29" s="278">
        <f t="shared" si="104"/>
        <v>0.05</v>
      </c>
      <c r="GV29" s="64">
        <f t="shared" si="105"/>
        <v>0.13552773598175849</v>
      </c>
      <c r="GW29" s="64">
        <f t="shared" si="106"/>
        <v>5.8413911111111105E-2</v>
      </c>
      <c r="GX29" s="64">
        <f t="shared" si="107"/>
        <v>0.17500340632603403</v>
      </c>
      <c r="GY29" s="64">
        <f t="shared" si="108"/>
        <v>7.4480616382806189E-2</v>
      </c>
      <c r="GZ29" s="64">
        <f t="shared" si="109"/>
        <v>3.5938199513381973E-2</v>
      </c>
      <c r="HA29" s="64">
        <f t="shared" si="110"/>
        <v>3.6214285714285713E-2</v>
      </c>
      <c r="HB29" s="64">
        <f t="shared" si="111"/>
        <v>1.4624999999999949E-2</v>
      </c>
      <c r="HC29" s="64">
        <f t="shared" si="112"/>
        <v>4.7883333333333068E-3</v>
      </c>
      <c r="HD29" s="280">
        <f t="shared" si="113"/>
        <v>2.0550400000000038E-2</v>
      </c>
      <c r="HE29" s="64"/>
      <c r="HF29" s="89">
        <v>2039</v>
      </c>
      <c r="HG29" s="278">
        <f t="shared" si="114"/>
        <v>1.0766666666666667</v>
      </c>
      <c r="HI29" s="278">
        <f t="shared" si="115"/>
        <v>0.57083343740594628</v>
      </c>
      <c r="HJ29" s="278">
        <f t="shared" si="116"/>
        <v>0.05</v>
      </c>
      <c r="HK29" s="64">
        <f t="shared" si="117"/>
        <v>6.7763867990879231E-2</v>
      </c>
      <c r="HL29" s="64">
        <f t="shared" si="118"/>
        <v>7.6469119999999988E-2</v>
      </c>
      <c r="HM29" s="64">
        <f t="shared" si="119"/>
        <v>0.17500340632603403</v>
      </c>
      <c r="HN29" s="64">
        <f t="shared" si="120"/>
        <v>7.4480616382806189E-2</v>
      </c>
      <c r="HO29" s="64">
        <f t="shared" si="121"/>
        <v>3.5938199513381973E-2</v>
      </c>
      <c r="HP29" s="64">
        <f t="shared" si="122"/>
        <v>3.6214285714285713E-2</v>
      </c>
      <c r="HQ29" s="64">
        <f t="shared" si="123"/>
        <v>1.4624999999999949E-2</v>
      </c>
      <c r="HR29" s="64">
        <f t="shared" si="124"/>
        <v>4.7883333333333068E-3</v>
      </c>
      <c r="HS29" s="280">
        <f t="shared" si="125"/>
        <v>2.0550400000000038E-2</v>
      </c>
      <c r="HT29" s="64"/>
      <c r="HU29" s="89">
        <v>2039</v>
      </c>
      <c r="HV29" s="278">
        <f t="shared" si="126"/>
        <v>1.0766666666666667</v>
      </c>
      <c r="HX29" s="278">
        <f t="shared" si="127"/>
        <v>0.59515673140138592</v>
      </c>
      <c r="HY29" s="278">
        <f t="shared" si="128"/>
        <v>0.05</v>
      </c>
      <c r="HZ29" s="64">
        <f t="shared" si="129"/>
        <v>3.3881933995439595E-2</v>
      </c>
      <c r="IA29" s="64">
        <f t="shared" si="130"/>
        <v>8.6027759999999981E-2</v>
      </c>
      <c r="IB29" s="64">
        <f t="shared" si="131"/>
        <v>0.17500340632603403</v>
      </c>
      <c r="IC29" s="64">
        <f t="shared" si="132"/>
        <v>7.4480616382806189E-2</v>
      </c>
      <c r="ID29" s="64">
        <f t="shared" si="133"/>
        <v>3.5938199513381973E-2</v>
      </c>
      <c r="IE29" s="64">
        <f t="shared" si="134"/>
        <v>3.6214285714285713E-2</v>
      </c>
      <c r="IF29" s="64">
        <f t="shared" si="135"/>
        <v>1.4624999999999949E-2</v>
      </c>
      <c r="IG29" s="64">
        <f t="shared" si="136"/>
        <v>4.7883333333333068E-3</v>
      </c>
      <c r="IH29" s="280">
        <f t="shared" si="137"/>
        <v>2.0550400000000038E-2</v>
      </c>
      <c r="II29" s="64"/>
      <c r="IJ29" s="89">
        <v>2039</v>
      </c>
      <c r="IK29" s="278">
        <f t="shared" si="138"/>
        <v>1.0766666666666667</v>
      </c>
      <c r="IM29" s="278">
        <f t="shared" si="139"/>
        <v>0.61948002539682556</v>
      </c>
      <c r="IN29" s="278">
        <f t="shared" si="140"/>
        <v>0.05</v>
      </c>
      <c r="IO29" s="64">
        <v>0</v>
      </c>
      <c r="IP29" s="64">
        <f t="shared" si="141"/>
        <v>9.5586399999999974E-2</v>
      </c>
      <c r="IQ29" s="64">
        <f t="shared" si="142"/>
        <v>0.17500340632603403</v>
      </c>
      <c r="IR29" s="64">
        <f t="shared" si="143"/>
        <v>7.4480616382806189E-2</v>
      </c>
      <c r="IS29" s="64">
        <f t="shared" si="144"/>
        <v>3.5938199513381973E-2</v>
      </c>
      <c r="IT29" s="64">
        <f t="shared" si="145"/>
        <v>3.6214285714285713E-2</v>
      </c>
      <c r="IU29" s="64">
        <f t="shared" si="146"/>
        <v>1.4624999999999949E-2</v>
      </c>
      <c r="IV29" s="64">
        <f t="shared" si="147"/>
        <v>4.7883333333333068E-3</v>
      </c>
      <c r="IW29" s="280">
        <f t="shared" si="148"/>
        <v>2.0550400000000038E-2</v>
      </c>
      <c r="IX29" s="64"/>
      <c r="IY29" s="3">
        <f t="shared" si="149"/>
        <v>0.29250000000000043</v>
      </c>
      <c r="IZ29">
        <f t="shared" si="34"/>
        <v>2039</v>
      </c>
      <c r="JA29" s="3">
        <f t="shared" si="150"/>
        <v>15.95086748986569</v>
      </c>
      <c r="JB29" s="353">
        <f>HLOOKUP('1 StrategyMix for CarbonTargets'!$V$46,'Stress calculations'!JI$8:JU$39,22,FALSE)</f>
        <v>15.234076862749728</v>
      </c>
      <c r="JC29" s="3">
        <f t="shared" si="151"/>
        <v>20.266666666666666</v>
      </c>
      <c r="JD29" s="353">
        <f t="shared" si="152"/>
        <v>21.333333333333332</v>
      </c>
      <c r="JE29" s="418">
        <f t="shared" si="35"/>
        <v>0.29249999999999998</v>
      </c>
      <c r="JF29" s="368">
        <f t="shared" si="153"/>
        <v>10.962499999999995</v>
      </c>
      <c r="JG29" s="369">
        <f t="shared" si="154"/>
        <v>11.539473684210522</v>
      </c>
      <c r="JH29" s="363">
        <f t="shared" si="155"/>
        <v>14.100435155382209</v>
      </c>
      <c r="JI29" s="362">
        <f t="shared" si="36"/>
        <v>14.842563321454957</v>
      </c>
      <c r="JJ29" s="366">
        <f t="shared" si="37"/>
        <v>14.47237301961224</v>
      </c>
      <c r="JK29" s="367">
        <f t="shared" si="8"/>
        <v>15.234076862749728</v>
      </c>
      <c r="JL29" s="363">
        <f t="shared" si="38"/>
        <v>14.844310883842267</v>
      </c>
      <c r="JM29" s="362">
        <f t="shared" si="39"/>
        <v>15.625590404044493</v>
      </c>
      <c r="JN29" s="366">
        <f t="shared" si="156"/>
        <v>15.216248748072292</v>
      </c>
      <c r="JO29" s="367">
        <f t="shared" si="40"/>
        <v>16.017103945339255</v>
      </c>
      <c r="JP29" s="363">
        <f t="shared" si="157"/>
        <v>15.588186612302328</v>
      </c>
      <c r="JQ29" s="362">
        <f t="shared" si="41"/>
        <v>16.408617486634032</v>
      </c>
      <c r="JR29" s="366">
        <f t="shared" si="158"/>
        <v>15.769527051084008</v>
      </c>
      <c r="JS29" s="367">
        <f t="shared" si="42"/>
        <v>16.599502159035797</v>
      </c>
      <c r="JT29" s="363">
        <f t="shared" si="159"/>
        <v>15.95086748986569</v>
      </c>
      <c r="JU29" s="362">
        <f t="shared" si="43"/>
        <v>16.790386831437569</v>
      </c>
    </row>
    <row r="30" spans="1:283">
      <c r="A30" s="259">
        <f>'1 StrategyMix for CarbonTargets'!V29</f>
        <v>0.2</v>
      </c>
      <c r="B30" s="247"/>
      <c r="C30" s="247"/>
      <c r="D30" s="247"/>
      <c r="E30" s="293"/>
      <c r="F30" s="293"/>
      <c r="G30" s="293"/>
      <c r="H30" s="302"/>
      <c r="I30" s="293"/>
      <c r="J30" s="303"/>
      <c r="AO30" s="89">
        <v>2040</v>
      </c>
      <c r="AP30" s="170">
        <f t="shared" si="160"/>
        <v>-1.9200000000000002E-2</v>
      </c>
      <c r="AQ30" s="170">
        <f t="shared" si="160"/>
        <v>-4.5000000000000023E-3</v>
      </c>
      <c r="AR30" s="170">
        <f t="shared" si="160"/>
        <v>-1.3846153846153843E-2</v>
      </c>
      <c r="AS30" s="170">
        <f t="shared" si="160"/>
        <v>-3.5357142857142865E-2</v>
      </c>
      <c r="AU30" s="170">
        <f t="shared" si="161"/>
        <v>-3.3576642335766418E-2</v>
      </c>
      <c r="AV30" s="170">
        <f t="shared" si="162"/>
        <v>-6.9586374695863762E-2</v>
      </c>
      <c r="AW30" s="170">
        <f t="shared" si="163"/>
        <v>-0.16350364963503652</v>
      </c>
      <c r="AY30" s="170">
        <f t="shared" si="164"/>
        <v>-8.4839999999999971E-2</v>
      </c>
      <c r="AZ30" s="278">
        <f t="shared" si="165"/>
        <v>8.9830588235294082E-3</v>
      </c>
      <c r="BA30" s="284">
        <f t="shared" si="166"/>
        <v>-3.2473801043478238E-2</v>
      </c>
      <c r="BB30" s="276">
        <f t="shared" si="167"/>
        <v>-3.8794749913043457E-2</v>
      </c>
      <c r="BC30" s="277">
        <f t="shared" si="168"/>
        <v>-3.2473801043478238E-2</v>
      </c>
      <c r="BD30" s="278">
        <f t="shared" si="169"/>
        <v>8.9830588235294082E-3</v>
      </c>
      <c r="BE30" s="284">
        <f t="shared" si="170"/>
        <v>-3.247380104347828E-2</v>
      </c>
      <c r="BF30" s="276">
        <f t="shared" si="171"/>
        <v>-3.8794749913043457E-2</v>
      </c>
      <c r="BG30" s="277">
        <f t="shared" si="9"/>
        <v>-3.247380104347828E-2</v>
      </c>
      <c r="BH30" s="278">
        <f t="shared" si="172"/>
        <v>1.6967999999999997E-2</v>
      </c>
      <c r="BI30" s="284">
        <f t="shared" si="173"/>
        <v>-6.4947602086956546E-2</v>
      </c>
      <c r="BJ30" s="276">
        <f t="shared" si="174"/>
        <v>-7.7589499826087024E-2</v>
      </c>
      <c r="BK30" s="277">
        <f t="shared" si="10"/>
        <v>-6.4947602086956546E-2</v>
      </c>
      <c r="BL30" s="278">
        <f t="shared" si="175"/>
        <v>1.6967999999999997E-2</v>
      </c>
      <c r="BM30" s="284">
        <f t="shared" si="176"/>
        <v>-6.4947602086956505E-2</v>
      </c>
      <c r="BN30" s="276">
        <f t="shared" si="177"/>
        <v>-7.75894998260869E-2</v>
      </c>
      <c r="BO30" s="277">
        <f t="shared" si="11"/>
        <v>-6.4947602086956518E-2</v>
      </c>
      <c r="BP30" s="278">
        <f t="shared" si="178"/>
        <v>1.6967999999999997E-2</v>
      </c>
      <c r="BQ30" s="284">
        <f t="shared" si="179"/>
        <v>-6.494760208695656E-2</v>
      </c>
      <c r="BR30" s="276">
        <f t="shared" si="180"/>
        <v>-7.7589499826086955E-2</v>
      </c>
      <c r="BS30" s="277">
        <f t="shared" si="12"/>
        <v>-6.4947602086956532E-2</v>
      </c>
      <c r="BT30" s="278">
        <f t="shared" si="181"/>
        <v>1.6967999999999997E-2</v>
      </c>
      <c r="BU30" s="284">
        <f t="shared" si="182"/>
        <v>-6.4947602086956505E-2</v>
      </c>
      <c r="BV30" s="276">
        <f t="shared" si="183"/>
        <v>-7.7589499826086941E-2</v>
      </c>
      <c r="BW30" s="278">
        <f t="shared" si="13"/>
        <v>-6.4947602086956505E-2</v>
      </c>
      <c r="BX30" s="391">
        <f t="shared" si="44"/>
        <v>-1.5969882352941153E-2</v>
      </c>
      <c r="BY30" s="388">
        <f t="shared" si="45"/>
        <v>-0.25979040834782613</v>
      </c>
      <c r="BZ30" s="409">
        <f t="shared" si="184"/>
        <v>0.79999999999999971</v>
      </c>
      <c r="CB30" s="279">
        <f t="shared" si="185"/>
        <v>-0.42440996336996334</v>
      </c>
      <c r="CC30" s="64">
        <f t="shared" si="15"/>
        <v>-0.44790070558991218</v>
      </c>
      <c r="CD30" s="64">
        <f t="shared" si="16"/>
        <v>-0.47139144780986109</v>
      </c>
      <c r="CE30" s="64">
        <f t="shared" si="17"/>
        <v>-0.51937104989681759</v>
      </c>
      <c r="CF30" s="64">
        <f t="shared" si="18"/>
        <v>-0.5673506519837741</v>
      </c>
      <c r="CG30" s="64">
        <f t="shared" si="19"/>
        <v>-0.61533025407073061</v>
      </c>
      <c r="CH30" s="64">
        <f t="shared" si="20"/>
        <v>-0.66330985615768712</v>
      </c>
      <c r="CI30">
        <v>2040</v>
      </c>
      <c r="CJ30" s="240"/>
      <c r="CL30">
        <v>2040</v>
      </c>
      <c r="CM30" s="3">
        <f t="shared" si="46"/>
        <v>0.95</v>
      </c>
      <c r="CN30" s="64">
        <f t="shared" si="21"/>
        <v>0.93079999999999996</v>
      </c>
      <c r="CO30" s="64">
        <f t="shared" si="21"/>
        <v>0.92630000000000001</v>
      </c>
      <c r="CP30" s="64">
        <f t="shared" si="21"/>
        <v>0.91245384615384617</v>
      </c>
      <c r="CQ30" s="64">
        <f t="shared" si="21"/>
        <v>0.87709670329670331</v>
      </c>
      <c r="CR30" s="64">
        <f t="shared" si="22"/>
        <v>0.8435200609609369</v>
      </c>
      <c r="CS30" s="64">
        <f t="shared" si="22"/>
        <v>0.7739336862650732</v>
      </c>
      <c r="CT30" s="64">
        <f t="shared" si="22"/>
        <v>0.6104300366300367</v>
      </c>
      <c r="CU30" s="64">
        <f t="shared" si="23"/>
        <v>0.52559003663003678</v>
      </c>
      <c r="CV30" s="64">
        <f t="shared" si="23"/>
        <v>0.53457309545356624</v>
      </c>
      <c r="CW30" s="65">
        <f t="shared" si="47"/>
        <v>0.50209929441008805</v>
      </c>
      <c r="CX30" s="64">
        <f t="shared" si="48"/>
        <v>0.54355615427709569</v>
      </c>
      <c r="CY30" s="65">
        <f t="shared" si="49"/>
        <v>0.4786085521901392</v>
      </c>
      <c r="CZ30" s="64">
        <f t="shared" si="50"/>
        <v>0.56052415427709568</v>
      </c>
      <c r="DA30" s="65">
        <f t="shared" si="51"/>
        <v>0.43062895010318264</v>
      </c>
      <c r="DB30" s="64">
        <f t="shared" si="52"/>
        <v>0.57749215427709566</v>
      </c>
      <c r="DC30" s="65">
        <f t="shared" si="53"/>
        <v>0.38264934801622608</v>
      </c>
      <c r="DD30" s="64">
        <f t="shared" si="54"/>
        <v>0.59446015427709564</v>
      </c>
      <c r="DE30" s="65">
        <f t="shared" si="55"/>
        <v>0.33466974592926951</v>
      </c>
      <c r="DF30" s="64">
        <f t="shared" si="56"/>
        <v>0.61142815427709563</v>
      </c>
      <c r="DG30" s="65">
        <f t="shared" si="57"/>
        <v>0.28669014384231301</v>
      </c>
      <c r="DL30">
        <v>2040</v>
      </c>
      <c r="DM30" s="64">
        <f t="shared" si="58"/>
        <v>0.28669014384231301</v>
      </c>
      <c r="DN30" s="64">
        <f t="shared" si="59"/>
        <v>0.33466974592926951</v>
      </c>
      <c r="DO30" s="64">
        <f t="shared" si="60"/>
        <v>0.38264934801622608</v>
      </c>
      <c r="DP30" s="64">
        <f t="shared" si="61"/>
        <v>0.43062895010318264</v>
      </c>
      <c r="DQ30" s="64">
        <f t="shared" si="62"/>
        <v>0.4786085521901392</v>
      </c>
      <c r="DR30" s="64">
        <f t="shared" si="63"/>
        <v>0.50209929441008805</v>
      </c>
      <c r="DS30" s="64">
        <f t="shared" si="24"/>
        <v>0.52559003663003678</v>
      </c>
      <c r="DT30" s="64">
        <f t="shared" si="25"/>
        <v>0.6104300366300367</v>
      </c>
      <c r="DU30" s="64">
        <f t="shared" si="26"/>
        <v>0.7739336862650732</v>
      </c>
      <c r="DV30" s="64">
        <f t="shared" si="27"/>
        <v>0.8435200609609369</v>
      </c>
      <c r="DW30" s="64">
        <f t="shared" si="28"/>
        <v>0.87709670329670331</v>
      </c>
      <c r="DX30" s="64">
        <f t="shared" si="29"/>
        <v>0.91245384615384617</v>
      </c>
      <c r="DY30" s="64">
        <f t="shared" si="30"/>
        <v>0.92630000000000001</v>
      </c>
      <c r="DZ30" s="64">
        <f t="shared" si="31"/>
        <v>0.93079999999999996</v>
      </c>
      <c r="EA30" s="3">
        <f t="shared" si="64"/>
        <v>0.95</v>
      </c>
      <c r="EB30">
        <v>2040</v>
      </c>
      <c r="EC30" s="269">
        <f t="shared" si="65"/>
        <v>0.28669014384231306</v>
      </c>
      <c r="ED30" s="269">
        <f t="shared" si="66"/>
        <v>0.05</v>
      </c>
      <c r="EE30" s="64">
        <f t="shared" si="186"/>
        <v>4.7979602086956508E-2</v>
      </c>
      <c r="EF30" s="64">
        <f t="shared" si="186"/>
        <v>4.7979602086956563E-2</v>
      </c>
      <c r="EG30" s="64">
        <f t="shared" si="186"/>
        <v>4.7979602086956563E-2</v>
      </c>
      <c r="EH30" s="64">
        <f t="shared" si="186"/>
        <v>4.7979602086956563E-2</v>
      </c>
      <c r="EI30" s="64">
        <f t="shared" si="186"/>
        <v>2.3490742219948846E-2</v>
      </c>
      <c r="EJ30" s="64">
        <f t="shared" si="186"/>
        <v>2.3490742219948735E-2</v>
      </c>
      <c r="EK30" s="64">
        <f t="shared" si="186"/>
        <v>8.4839999999999915E-2</v>
      </c>
      <c r="EL30" s="64">
        <f t="shared" si="186"/>
        <v>0.1635036496350365</v>
      </c>
      <c r="EM30" s="64">
        <f t="shared" si="186"/>
        <v>6.9586374695863706E-2</v>
      </c>
      <c r="EN30" s="64">
        <f t="shared" si="186"/>
        <v>3.3576642335766405E-2</v>
      </c>
      <c r="EO30" s="64">
        <f t="shared" si="186"/>
        <v>3.5357142857142865E-2</v>
      </c>
      <c r="EP30" s="64">
        <f t="shared" si="186"/>
        <v>1.3846153846153841E-2</v>
      </c>
      <c r="EQ30" s="64">
        <f t="shared" si="186"/>
        <v>4.4999999999999485E-3</v>
      </c>
      <c r="ER30" s="64">
        <f t="shared" si="186"/>
        <v>1.9199999999999995E-2</v>
      </c>
      <c r="EX30" s="89">
        <v>2040</v>
      </c>
      <c r="EY30" s="278">
        <f t="shared" si="67"/>
        <v>1.0833333333333333</v>
      </c>
      <c r="EZ30" s="278"/>
      <c r="FA30" s="278">
        <f t="shared" si="68"/>
        <v>0.33158216302128807</v>
      </c>
      <c r="FB30" s="278">
        <f t="shared" si="33"/>
        <v>0.05</v>
      </c>
      <c r="FC30" s="64">
        <f t="shared" si="69"/>
        <v>0.36803641182608687</v>
      </c>
      <c r="FD30" s="64">
        <f t="shared" si="70"/>
        <v>-1.1312000000000227E-3</v>
      </c>
      <c r="FE30" s="64">
        <f t="shared" si="71"/>
        <v>0.18530413625304132</v>
      </c>
      <c r="FF30" s="64">
        <f t="shared" si="72"/>
        <v>7.8864557988645514E-2</v>
      </c>
      <c r="FG30" s="64">
        <f t="shared" si="73"/>
        <v>3.8053527980535247E-2</v>
      </c>
      <c r="FH30" s="64">
        <f t="shared" si="74"/>
        <v>4.007142857142857E-2</v>
      </c>
      <c r="FI30" s="64">
        <f t="shared" si="75"/>
        <v>1.5692307692307682E-2</v>
      </c>
      <c r="FJ30" s="64">
        <f t="shared" si="76"/>
        <v>5.0999999999999405E-3</v>
      </c>
      <c r="FK30" s="280">
        <f t="shared" si="77"/>
        <v>2.1759999999999988E-2</v>
      </c>
      <c r="FL30" s="64"/>
      <c r="FM30" s="89">
        <v>2040</v>
      </c>
      <c r="FN30" s="278">
        <f t="shared" si="78"/>
        <v>1.0833333333333333</v>
      </c>
      <c r="FP30" s="278">
        <f t="shared" si="79"/>
        <v>0.38595904538650538</v>
      </c>
      <c r="FQ30" s="278">
        <f t="shared" si="80"/>
        <v>0.05</v>
      </c>
      <c r="FR30" s="64">
        <f t="shared" si="81"/>
        <v>0.29442912946086952</v>
      </c>
      <c r="FS30" s="64">
        <f t="shared" si="82"/>
        <v>1.8099199999999968E-2</v>
      </c>
      <c r="FT30" s="64">
        <f t="shared" si="83"/>
        <v>0.18530413625304132</v>
      </c>
      <c r="FU30" s="64">
        <f t="shared" si="84"/>
        <v>7.8864557988645514E-2</v>
      </c>
      <c r="FV30" s="64">
        <f t="shared" si="85"/>
        <v>3.8053527980535247E-2</v>
      </c>
      <c r="FW30" s="64">
        <f t="shared" si="86"/>
        <v>4.007142857142857E-2</v>
      </c>
      <c r="FX30" s="64">
        <f t="shared" si="87"/>
        <v>1.5692307692307682E-2</v>
      </c>
      <c r="FY30" s="64">
        <f t="shared" si="88"/>
        <v>5.0999999999999405E-3</v>
      </c>
      <c r="FZ30" s="280">
        <f t="shared" si="89"/>
        <v>2.1759999999999988E-2</v>
      </c>
      <c r="GA30" s="64"/>
      <c r="GB30" s="89">
        <v>2040</v>
      </c>
      <c r="GC30" s="278">
        <f t="shared" si="90"/>
        <v>1.0833333333333333</v>
      </c>
      <c r="GE30" s="278">
        <f t="shared" si="91"/>
        <v>0.44033592775172281</v>
      </c>
      <c r="GF30" s="278">
        <f t="shared" si="92"/>
        <v>0.05</v>
      </c>
      <c r="GG30" s="64">
        <f t="shared" si="93"/>
        <v>0.22082184709565214</v>
      </c>
      <c r="GH30" s="64">
        <f t="shared" si="94"/>
        <v>3.7329599999999963E-2</v>
      </c>
      <c r="GI30" s="64">
        <f t="shared" si="95"/>
        <v>0.18530413625304132</v>
      </c>
      <c r="GJ30" s="64">
        <f t="shared" si="96"/>
        <v>7.8864557988645514E-2</v>
      </c>
      <c r="GK30" s="64">
        <f t="shared" si="97"/>
        <v>3.8053527980535247E-2</v>
      </c>
      <c r="GL30" s="64">
        <f t="shared" si="98"/>
        <v>4.007142857142857E-2</v>
      </c>
      <c r="GM30" s="64">
        <f t="shared" si="99"/>
        <v>1.5692307692307682E-2</v>
      </c>
      <c r="GN30" s="64">
        <f t="shared" si="100"/>
        <v>5.0999999999999405E-3</v>
      </c>
      <c r="GO30" s="280">
        <f t="shared" si="101"/>
        <v>2.1759999999999988E-2</v>
      </c>
      <c r="GP30" s="64"/>
      <c r="GQ30" s="89">
        <v>2040</v>
      </c>
      <c r="GR30" s="278">
        <f t="shared" si="102"/>
        <v>1.0833333333333333</v>
      </c>
      <c r="GT30" s="278">
        <f t="shared" si="103"/>
        <v>0.49471281011694024</v>
      </c>
      <c r="GU30" s="278">
        <f t="shared" si="104"/>
        <v>0.05</v>
      </c>
      <c r="GV30" s="64">
        <f t="shared" si="105"/>
        <v>0.14721456473043476</v>
      </c>
      <c r="GW30" s="64">
        <f t="shared" si="106"/>
        <v>5.6559999999999958E-2</v>
      </c>
      <c r="GX30" s="64">
        <f t="shared" si="107"/>
        <v>0.18530413625304132</v>
      </c>
      <c r="GY30" s="64">
        <f t="shared" si="108"/>
        <v>7.8864557988645514E-2</v>
      </c>
      <c r="GZ30" s="64">
        <f t="shared" si="109"/>
        <v>3.8053527980535247E-2</v>
      </c>
      <c r="HA30" s="64">
        <f t="shared" si="110"/>
        <v>4.007142857142857E-2</v>
      </c>
      <c r="HB30" s="64">
        <f t="shared" si="111"/>
        <v>1.5692307692307682E-2</v>
      </c>
      <c r="HC30" s="64">
        <f t="shared" si="112"/>
        <v>5.0999999999999405E-3</v>
      </c>
      <c r="HD30" s="280">
        <f t="shared" si="113"/>
        <v>2.1759999999999988E-2</v>
      </c>
      <c r="HE30" s="64"/>
      <c r="HF30" s="89">
        <v>2040</v>
      </c>
      <c r="HG30" s="278">
        <f t="shared" si="114"/>
        <v>1.0833333333333333</v>
      </c>
      <c r="HI30" s="278">
        <f t="shared" si="115"/>
        <v>0.54908969248215755</v>
      </c>
      <c r="HJ30" s="278">
        <f t="shared" si="116"/>
        <v>0.05</v>
      </c>
      <c r="HK30" s="64">
        <f t="shared" si="117"/>
        <v>7.3607282365217366E-2</v>
      </c>
      <c r="HL30" s="64">
        <f t="shared" si="118"/>
        <v>7.5790399999999952E-2</v>
      </c>
      <c r="HM30" s="64">
        <f t="shared" si="119"/>
        <v>0.18530413625304132</v>
      </c>
      <c r="HN30" s="64">
        <f t="shared" si="120"/>
        <v>7.8864557988645514E-2</v>
      </c>
      <c r="HO30" s="64">
        <f t="shared" si="121"/>
        <v>3.8053527980535247E-2</v>
      </c>
      <c r="HP30" s="64">
        <f t="shared" si="122"/>
        <v>4.007142857142857E-2</v>
      </c>
      <c r="HQ30" s="64">
        <f t="shared" si="123"/>
        <v>1.5692307692307682E-2</v>
      </c>
      <c r="HR30" s="64">
        <f t="shared" si="124"/>
        <v>5.0999999999999405E-3</v>
      </c>
      <c r="HS30" s="280">
        <f t="shared" si="125"/>
        <v>2.1759999999999988E-2</v>
      </c>
      <c r="HT30" s="64"/>
      <c r="HU30" s="89">
        <v>2040</v>
      </c>
      <c r="HV30" s="278">
        <f t="shared" si="126"/>
        <v>1.0833333333333333</v>
      </c>
      <c r="HX30" s="278">
        <f t="shared" si="127"/>
        <v>0.57571253366476638</v>
      </c>
      <c r="HY30" s="278">
        <f t="shared" si="128"/>
        <v>0.05</v>
      </c>
      <c r="HZ30" s="64">
        <f t="shared" si="129"/>
        <v>3.6803641182608662E-2</v>
      </c>
      <c r="IA30" s="64">
        <f t="shared" si="130"/>
        <v>8.5971199999999942E-2</v>
      </c>
      <c r="IB30" s="64">
        <f t="shared" si="131"/>
        <v>0.18530413625304132</v>
      </c>
      <c r="IC30" s="64">
        <f t="shared" si="132"/>
        <v>7.8864557988645514E-2</v>
      </c>
      <c r="ID30" s="64">
        <f t="shared" si="133"/>
        <v>3.8053527980535247E-2</v>
      </c>
      <c r="IE30" s="64">
        <f t="shared" si="134"/>
        <v>4.007142857142857E-2</v>
      </c>
      <c r="IF30" s="64">
        <f t="shared" si="135"/>
        <v>1.5692307692307682E-2</v>
      </c>
      <c r="IG30" s="64">
        <f t="shared" si="136"/>
        <v>5.0999999999999405E-3</v>
      </c>
      <c r="IH30" s="280">
        <f t="shared" si="137"/>
        <v>2.1759999999999988E-2</v>
      </c>
      <c r="II30" s="64"/>
      <c r="IJ30" s="89">
        <v>2040</v>
      </c>
      <c r="IK30" s="278">
        <f t="shared" si="138"/>
        <v>1.0833333333333333</v>
      </c>
      <c r="IM30" s="278">
        <f t="shared" si="139"/>
        <v>0.60233537484737498</v>
      </c>
      <c r="IN30" s="278">
        <f t="shared" si="140"/>
        <v>0.05</v>
      </c>
      <c r="IO30" s="64">
        <v>0</v>
      </c>
      <c r="IP30" s="64">
        <f t="shared" si="141"/>
        <v>9.6151999999999946E-2</v>
      </c>
      <c r="IQ30" s="64">
        <f t="shared" si="142"/>
        <v>0.18530413625304132</v>
      </c>
      <c r="IR30" s="64">
        <f t="shared" si="143"/>
        <v>7.8864557988645514E-2</v>
      </c>
      <c r="IS30" s="64">
        <f t="shared" si="144"/>
        <v>3.8053527980535247E-2</v>
      </c>
      <c r="IT30" s="64">
        <f t="shared" si="145"/>
        <v>4.007142857142857E-2</v>
      </c>
      <c r="IU30" s="64">
        <f t="shared" si="146"/>
        <v>1.5692307692307682E-2</v>
      </c>
      <c r="IV30" s="64">
        <f t="shared" si="147"/>
        <v>5.0999999999999405E-3</v>
      </c>
      <c r="IW30" s="280">
        <f t="shared" si="148"/>
        <v>2.1759999999999988E-2</v>
      </c>
      <c r="IX30" s="64"/>
      <c r="IY30" s="3">
        <f t="shared" si="149"/>
        <v>0.27500000000000036</v>
      </c>
      <c r="IZ30">
        <f t="shared" si="34"/>
        <v>2040</v>
      </c>
      <c r="JA30" s="3">
        <f t="shared" si="150"/>
        <v>16.553202864713064</v>
      </c>
      <c r="JB30" s="353">
        <f>HLOOKUP('1 StrategyMix for CarbonTargets'!$V$46,'Stress calculations'!JI$8:JU$39,23,FALSE)</f>
        <v>15.640349542103943</v>
      </c>
      <c r="JC30" s="3">
        <f t="shared" si="151"/>
        <v>21.349999999999998</v>
      </c>
      <c r="JD30" s="353">
        <f t="shared" si="152"/>
        <v>22.473684210526315</v>
      </c>
      <c r="JE30" s="418">
        <f t="shared" si="35"/>
        <v>0.27500000000000002</v>
      </c>
      <c r="JF30" s="368">
        <f t="shared" si="153"/>
        <v>11.237499999999995</v>
      </c>
      <c r="JG30" s="369">
        <f t="shared" si="154"/>
        <v>11.828947368421048</v>
      </c>
      <c r="JH30" s="363">
        <f t="shared" si="155"/>
        <v>14.432017318403497</v>
      </c>
      <c r="JI30" s="362">
        <f t="shared" si="36"/>
        <v>15.191597177266841</v>
      </c>
      <c r="JJ30" s="366">
        <f t="shared" si="37"/>
        <v>14.858332064998745</v>
      </c>
      <c r="JK30" s="367">
        <f t="shared" si="8"/>
        <v>15.640349542103943</v>
      </c>
      <c r="JL30" s="363">
        <f t="shared" si="38"/>
        <v>15.284646811593991</v>
      </c>
      <c r="JM30" s="362">
        <f t="shared" si="39"/>
        <v>16.089101906941043</v>
      </c>
      <c r="JN30" s="366">
        <f t="shared" si="156"/>
        <v>15.710961558189233</v>
      </c>
      <c r="JO30" s="367">
        <f t="shared" si="40"/>
        <v>16.537854271778141</v>
      </c>
      <c r="JP30" s="363">
        <f t="shared" si="157"/>
        <v>16.137276304784486</v>
      </c>
      <c r="JQ30" s="362">
        <f t="shared" si="41"/>
        <v>16.986606636615249</v>
      </c>
      <c r="JR30" s="366">
        <f t="shared" si="158"/>
        <v>16.345239584748775</v>
      </c>
      <c r="JS30" s="367">
        <f t="shared" si="42"/>
        <v>17.205515352367133</v>
      </c>
      <c r="JT30" s="363">
        <f t="shared" si="159"/>
        <v>16.553202864713064</v>
      </c>
      <c r="JU30" s="362">
        <f t="shared" si="43"/>
        <v>17.424424068119016</v>
      </c>
    </row>
    <row r="31" spans="1:283">
      <c r="A31" s="259">
        <f>'1 StrategyMix for CarbonTargets'!V29</f>
        <v>0.2</v>
      </c>
      <c r="B31" s="247"/>
      <c r="C31" s="247"/>
      <c r="D31" s="247"/>
      <c r="E31" s="294"/>
      <c r="F31" s="294"/>
      <c r="G31" s="294" t="s">
        <v>93</v>
      </c>
      <c r="H31" s="302" cm="1">
        <f t="array" ref="H31">INDEX('SHIFT_from car driver'!AI10:AI54,MATCH(1,(A9='SHIFT_from car driver'!A10:A54)*(A31='SHIFT_from car driver'!B10:B54),0))</f>
        <v>1.0442349528643945E-2</v>
      </c>
      <c r="I31" s="304" cm="1">
        <f t="array" ref="I31">INDEX('SHIFT_from car driver'!AE10:AE54,MATCH(1,(A9='SHIFT_from car driver'!A10:A54)*(A31='SHIFT_from car driver'!B10:B54),0))</f>
        <v>2.3629590207557213E-2</v>
      </c>
      <c r="J31" s="305" cm="1">
        <f t="array" ref="J31">INDEX('SHIFT_from car driver'!AA10:AA54,MATCH(1,(A9='SHIFT_from car driver'!A10:A54)*(A31='SHIFT_from car driver'!B10:B54),0))</f>
        <v>5.0364963503649648E-2</v>
      </c>
      <c r="K31" s="64"/>
      <c r="AO31" s="89">
        <v>2041</v>
      </c>
      <c r="AP31" s="170">
        <f t="shared" si="160"/>
        <v>-2.0160000000000001E-2</v>
      </c>
      <c r="AQ31" s="170">
        <f t="shared" si="160"/>
        <v>-4.7500000000000025E-3</v>
      </c>
      <c r="AR31" s="170">
        <f t="shared" si="160"/>
        <v>-1.4711538461538458E-2</v>
      </c>
      <c r="AS31" s="170">
        <f t="shared" si="160"/>
        <v>-3.8571428571428576E-2</v>
      </c>
      <c r="AU31" s="170">
        <f t="shared" si="161"/>
        <v>-3.5255474452554739E-2</v>
      </c>
      <c r="AV31" s="170">
        <f t="shared" si="162"/>
        <v>-7.3065693430656956E-2</v>
      </c>
      <c r="AW31" s="170">
        <f t="shared" si="163"/>
        <v>-0.17167883211678836</v>
      </c>
      <c r="AY31" s="170">
        <f t="shared" si="164"/>
        <v>-8.4839999999999971E-2</v>
      </c>
      <c r="AZ31" s="278">
        <f t="shared" si="165"/>
        <v>8.4839999999999968E-3</v>
      </c>
      <c r="BA31" s="284">
        <f t="shared" si="166"/>
        <v>-3.310589593043476E-2</v>
      </c>
      <c r="BB31" s="276">
        <f t="shared" si="167"/>
        <v>-3.8794749913043457E-2</v>
      </c>
      <c r="BC31" s="277">
        <f t="shared" si="168"/>
        <v>-3.310589593043476E-2</v>
      </c>
      <c r="BD31" s="278">
        <f t="shared" si="169"/>
        <v>8.4839999999999968E-3</v>
      </c>
      <c r="BE31" s="284">
        <f t="shared" si="170"/>
        <v>-3.3105895930434802E-2</v>
      </c>
      <c r="BF31" s="276">
        <f t="shared" si="171"/>
        <v>-3.8794749913043457E-2</v>
      </c>
      <c r="BG31" s="277">
        <f t="shared" si="9"/>
        <v>-3.3105895930434802E-2</v>
      </c>
      <c r="BH31" s="278">
        <f t="shared" si="172"/>
        <v>1.6967999999999994E-2</v>
      </c>
      <c r="BI31" s="284">
        <f t="shared" si="173"/>
        <v>-6.621179186086959E-2</v>
      </c>
      <c r="BJ31" s="276">
        <f t="shared" si="174"/>
        <v>-7.7589499826087024E-2</v>
      </c>
      <c r="BK31" s="277">
        <f t="shared" si="10"/>
        <v>-6.621179186086959E-2</v>
      </c>
      <c r="BL31" s="278">
        <f t="shared" si="175"/>
        <v>1.6967999999999994E-2</v>
      </c>
      <c r="BM31" s="284">
        <f t="shared" si="176"/>
        <v>-6.6211791860869548E-2</v>
      </c>
      <c r="BN31" s="276">
        <f t="shared" si="177"/>
        <v>-7.7589499826086886E-2</v>
      </c>
      <c r="BO31" s="277">
        <f t="shared" si="11"/>
        <v>-6.6211791860869548E-2</v>
      </c>
      <c r="BP31" s="278">
        <f t="shared" si="178"/>
        <v>1.6967999999999994E-2</v>
      </c>
      <c r="BQ31" s="284">
        <f t="shared" si="179"/>
        <v>-6.6211791860869604E-2</v>
      </c>
      <c r="BR31" s="276">
        <f t="shared" si="180"/>
        <v>-7.7589499826086997E-2</v>
      </c>
      <c r="BS31" s="277">
        <f t="shared" si="12"/>
        <v>-6.6211791860869604E-2</v>
      </c>
      <c r="BT31" s="278">
        <f t="shared" si="181"/>
        <v>1.6967999999999994E-2</v>
      </c>
      <c r="BU31" s="284">
        <f t="shared" si="182"/>
        <v>-6.6211791860869548E-2</v>
      </c>
      <c r="BV31" s="276">
        <f t="shared" si="183"/>
        <v>-7.7589499826086941E-2</v>
      </c>
      <c r="BW31" s="278">
        <f t="shared" si="13"/>
        <v>-6.6211791860869548E-2</v>
      </c>
      <c r="BX31" s="391">
        <f t="shared" si="44"/>
        <v>-1.6968E-2</v>
      </c>
      <c r="BY31" s="388">
        <f t="shared" si="45"/>
        <v>-0.2648471674434783</v>
      </c>
      <c r="BZ31" s="409">
        <f t="shared" si="184"/>
        <v>0.79999999999999971</v>
      </c>
      <c r="CB31" s="279">
        <f t="shared" si="185"/>
        <v>-0.44303296703296707</v>
      </c>
      <c r="CC31" s="64">
        <f t="shared" si="15"/>
        <v>-0.46765486296340186</v>
      </c>
      <c r="CD31" s="64">
        <f t="shared" si="16"/>
        <v>-0.49227675889383665</v>
      </c>
      <c r="CE31" s="64">
        <f t="shared" si="17"/>
        <v>-0.54152055075470629</v>
      </c>
      <c r="CF31" s="64">
        <f t="shared" si="18"/>
        <v>-0.59076434261557587</v>
      </c>
      <c r="CG31" s="64">
        <f t="shared" si="19"/>
        <v>-0.64000813447644544</v>
      </c>
      <c r="CH31" s="64">
        <f t="shared" si="20"/>
        <v>-0.68925192633731502</v>
      </c>
      <c r="CI31">
        <v>2041</v>
      </c>
      <c r="CJ31" s="240"/>
      <c r="CL31">
        <v>2041</v>
      </c>
      <c r="CM31" s="3">
        <f t="shared" si="46"/>
        <v>0.95</v>
      </c>
      <c r="CN31" s="64">
        <f t="shared" si="21"/>
        <v>0.92984</v>
      </c>
      <c r="CO31" s="64">
        <f t="shared" si="21"/>
        <v>0.92508999999999997</v>
      </c>
      <c r="CP31" s="64">
        <f t="shared" si="21"/>
        <v>0.91037846153846147</v>
      </c>
      <c r="CQ31" s="64">
        <f t="shared" si="21"/>
        <v>0.87180703296703288</v>
      </c>
      <c r="CR31" s="64">
        <f t="shared" si="22"/>
        <v>0.83655155851447816</v>
      </c>
      <c r="CS31" s="64">
        <f t="shared" si="22"/>
        <v>0.76348586508382121</v>
      </c>
      <c r="CT31" s="64">
        <f t="shared" si="22"/>
        <v>0.59180703296703285</v>
      </c>
      <c r="CU31" s="64">
        <f t="shared" si="23"/>
        <v>0.50696703296703283</v>
      </c>
      <c r="CV31" s="64">
        <f t="shared" si="23"/>
        <v>0.51545103296703287</v>
      </c>
      <c r="CW31" s="65">
        <f t="shared" si="47"/>
        <v>0.48234513703659809</v>
      </c>
      <c r="CX31" s="64">
        <f t="shared" si="48"/>
        <v>0.52393503296703292</v>
      </c>
      <c r="CY31" s="65">
        <f t="shared" si="49"/>
        <v>0.45772324110616336</v>
      </c>
      <c r="CZ31" s="64">
        <f t="shared" si="50"/>
        <v>0.5409030329670329</v>
      </c>
      <c r="DA31" s="65">
        <f t="shared" si="51"/>
        <v>0.40847944924529378</v>
      </c>
      <c r="DB31" s="64">
        <f t="shared" si="52"/>
        <v>0.55787103296703289</v>
      </c>
      <c r="DC31" s="65">
        <f t="shared" si="53"/>
        <v>0.3592356573844242</v>
      </c>
      <c r="DD31" s="64">
        <f t="shared" si="54"/>
        <v>0.57483903296703287</v>
      </c>
      <c r="DE31" s="65">
        <f t="shared" si="55"/>
        <v>0.30999186552355457</v>
      </c>
      <c r="DF31" s="64">
        <f t="shared" si="56"/>
        <v>0.59180703296703285</v>
      </c>
      <c r="DG31" s="65">
        <f t="shared" si="57"/>
        <v>0.26074807366268499</v>
      </c>
      <c r="DL31">
        <v>2041</v>
      </c>
      <c r="DM31" s="64">
        <f t="shared" si="58"/>
        <v>0.26074807366268499</v>
      </c>
      <c r="DN31" s="64">
        <f t="shared" si="59"/>
        <v>0.30999186552355457</v>
      </c>
      <c r="DO31" s="64">
        <f t="shared" si="60"/>
        <v>0.3592356573844242</v>
      </c>
      <c r="DP31" s="64">
        <f t="shared" si="61"/>
        <v>0.40847944924529378</v>
      </c>
      <c r="DQ31" s="64">
        <f t="shared" si="62"/>
        <v>0.45772324110616336</v>
      </c>
      <c r="DR31" s="64">
        <f t="shared" si="63"/>
        <v>0.48234513703659809</v>
      </c>
      <c r="DS31" s="64">
        <f t="shared" si="24"/>
        <v>0.50696703296703283</v>
      </c>
      <c r="DT31" s="64">
        <f t="shared" si="25"/>
        <v>0.59180703296703285</v>
      </c>
      <c r="DU31" s="64">
        <f t="shared" si="26"/>
        <v>0.76348586508382121</v>
      </c>
      <c r="DV31" s="64">
        <f t="shared" si="27"/>
        <v>0.83655155851447816</v>
      </c>
      <c r="DW31" s="64">
        <f t="shared" si="28"/>
        <v>0.87180703296703288</v>
      </c>
      <c r="DX31" s="64">
        <f t="shared" si="29"/>
        <v>0.91037846153846147</v>
      </c>
      <c r="DY31" s="64">
        <f t="shared" si="30"/>
        <v>0.92508999999999997</v>
      </c>
      <c r="DZ31" s="64">
        <f t="shared" si="31"/>
        <v>0.92984</v>
      </c>
      <c r="EA31" s="3">
        <f t="shared" si="64"/>
        <v>0.95</v>
      </c>
      <c r="EB31">
        <v>2041</v>
      </c>
      <c r="EC31" s="269">
        <f t="shared" si="65"/>
        <v>0.26074807366268504</v>
      </c>
      <c r="ED31" s="269">
        <f t="shared" si="66"/>
        <v>0.05</v>
      </c>
      <c r="EE31" s="64">
        <f t="shared" si="186"/>
        <v>4.9243791860869579E-2</v>
      </c>
      <c r="EF31" s="64">
        <f t="shared" si="186"/>
        <v>4.9243791860869635E-2</v>
      </c>
      <c r="EG31" s="64">
        <f t="shared" si="186"/>
        <v>4.9243791860869579E-2</v>
      </c>
      <c r="EH31" s="64">
        <f t="shared" si="186"/>
        <v>4.9243791860869579E-2</v>
      </c>
      <c r="EI31" s="64">
        <f t="shared" si="186"/>
        <v>2.4621895930434734E-2</v>
      </c>
      <c r="EJ31" s="64">
        <f t="shared" si="186"/>
        <v>2.4621895930434734E-2</v>
      </c>
      <c r="EK31" s="64">
        <f t="shared" si="186"/>
        <v>8.4840000000000027E-2</v>
      </c>
      <c r="EL31" s="64">
        <f t="shared" si="186"/>
        <v>0.17167883211678836</v>
      </c>
      <c r="EM31" s="64">
        <f t="shared" si="186"/>
        <v>7.3065693430656942E-2</v>
      </c>
      <c r="EN31" s="64">
        <f t="shared" si="186"/>
        <v>3.5255474452554725E-2</v>
      </c>
      <c r="EO31" s="64">
        <f t="shared" si="186"/>
        <v>3.857142857142859E-2</v>
      </c>
      <c r="EP31" s="64">
        <f t="shared" si="186"/>
        <v>1.4711538461538498E-2</v>
      </c>
      <c r="EQ31" s="64">
        <f t="shared" si="186"/>
        <v>4.750000000000032E-3</v>
      </c>
      <c r="ER31" s="64">
        <f t="shared" si="186"/>
        <v>2.0159999999999956E-2</v>
      </c>
      <c r="EX31" s="89">
        <v>2041</v>
      </c>
      <c r="EY31" s="278">
        <f t="shared" si="67"/>
        <v>1.0899999999999999</v>
      </c>
      <c r="EZ31" s="278"/>
      <c r="FA31" s="278">
        <f t="shared" si="68"/>
        <v>0.30425280397546084</v>
      </c>
      <c r="FB31" s="278">
        <f t="shared" si="33"/>
        <v>0.05</v>
      </c>
      <c r="FC31" s="64">
        <f t="shared" si="69"/>
        <v>0.37740721360695656</v>
      </c>
      <c r="FD31" s="64">
        <f t="shared" si="70"/>
        <v>7.9103390504542397E-18</v>
      </c>
      <c r="FE31" s="64">
        <f t="shared" si="71"/>
        <v>0.19571386861313872</v>
      </c>
      <c r="FF31" s="64">
        <f t="shared" si="72"/>
        <v>8.3294890510948905E-2</v>
      </c>
      <c r="FG31" s="64">
        <f t="shared" si="73"/>
        <v>4.019124087591238E-2</v>
      </c>
      <c r="FH31" s="64">
        <f t="shared" si="74"/>
        <v>4.3971428571428592E-2</v>
      </c>
      <c r="FI31" s="64">
        <f t="shared" si="75"/>
        <v>1.6771153846153887E-2</v>
      </c>
      <c r="FJ31" s="64">
        <f t="shared" si="76"/>
        <v>5.4150000000000361E-3</v>
      </c>
      <c r="FK31" s="280">
        <f t="shared" si="77"/>
        <v>2.2982399999999948E-2</v>
      </c>
      <c r="FL31" s="64"/>
      <c r="FM31" s="89">
        <v>2041</v>
      </c>
      <c r="FN31" s="278">
        <f t="shared" si="78"/>
        <v>1.0899999999999999</v>
      </c>
      <c r="FP31" s="278">
        <f t="shared" si="79"/>
        <v>0.36039072669685202</v>
      </c>
      <c r="FQ31" s="278">
        <f t="shared" si="80"/>
        <v>0.05</v>
      </c>
      <c r="FR31" s="64">
        <f t="shared" si="81"/>
        <v>0.30192577088556521</v>
      </c>
      <c r="FS31" s="64">
        <f t="shared" si="82"/>
        <v>1.9343519999999999E-2</v>
      </c>
      <c r="FT31" s="64">
        <f t="shared" si="83"/>
        <v>0.19571386861313872</v>
      </c>
      <c r="FU31" s="64">
        <f t="shared" si="84"/>
        <v>8.3294890510948905E-2</v>
      </c>
      <c r="FV31" s="64">
        <f t="shared" si="85"/>
        <v>4.019124087591238E-2</v>
      </c>
      <c r="FW31" s="64">
        <f t="shared" si="86"/>
        <v>4.3971428571428592E-2</v>
      </c>
      <c r="FX31" s="64">
        <f t="shared" si="87"/>
        <v>1.6771153846153887E-2</v>
      </c>
      <c r="FY31" s="64">
        <f t="shared" si="88"/>
        <v>5.4150000000000361E-3</v>
      </c>
      <c r="FZ31" s="280">
        <f t="shared" si="89"/>
        <v>2.2982399999999948E-2</v>
      </c>
      <c r="GA31" s="64"/>
      <c r="GB31" s="89">
        <v>2041</v>
      </c>
      <c r="GC31" s="278">
        <f t="shared" si="90"/>
        <v>1.0899999999999999</v>
      </c>
      <c r="GE31" s="278">
        <f t="shared" si="91"/>
        <v>0.41652864941824341</v>
      </c>
      <c r="GF31" s="278">
        <f t="shared" si="92"/>
        <v>0.05</v>
      </c>
      <c r="GG31" s="64">
        <f t="shared" si="93"/>
        <v>0.2264443281641739</v>
      </c>
      <c r="GH31" s="64">
        <f t="shared" si="94"/>
        <v>3.8687039999999992E-2</v>
      </c>
      <c r="GI31" s="64">
        <f t="shared" si="95"/>
        <v>0.19571386861313872</v>
      </c>
      <c r="GJ31" s="64">
        <f t="shared" si="96"/>
        <v>8.3294890510948905E-2</v>
      </c>
      <c r="GK31" s="64">
        <f t="shared" si="97"/>
        <v>4.019124087591238E-2</v>
      </c>
      <c r="GL31" s="64">
        <f t="shared" si="98"/>
        <v>4.3971428571428592E-2</v>
      </c>
      <c r="GM31" s="64">
        <f t="shared" si="99"/>
        <v>1.6771153846153887E-2</v>
      </c>
      <c r="GN31" s="64">
        <f t="shared" si="100"/>
        <v>5.4150000000000361E-3</v>
      </c>
      <c r="GO31" s="280">
        <f t="shared" si="101"/>
        <v>2.2982399999999948E-2</v>
      </c>
      <c r="GP31" s="64"/>
      <c r="GQ31" s="89">
        <v>2041</v>
      </c>
      <c r="GR31" s="278">
        <f t="shared" si="102"/>
        <v>1.0899999999999999</v>
      </c>
      <c r="GT31" s="278">
        <f t="shared" si="103"/>
        <v>0.47266657213963481</v>
      </c>
      <c r="GU31" s="278">
        <f t="shared" si="104"/>
        <v>0.05</v>
      </c>
      <c r="GV31" s="64">
        <f t="shared" si="105"/>
        <v>0.15096288544278261</v>
      </c>
      <c r="GW31" s="64">
        <f t="shared" si="106"/>
        <v>5.8030559999999988E-2</v>
      </c>
      <c r="GX31" s="64">
        <f t="shared" si="107"/>
        <v>0.19571386861313872</v>
      </c>
      <c r="GY31" s="64">
        <f t="shared" si="108"/>
        <v>8.3294890510948905E-2</v>
      </c>
      <c r="GZ31" s="64">
        <f t="shared" si="109"/>
        <v>4.019124087591238E-2</v>
      </c>
      <c r="HA31" s="64">
        <f t="shared" si="110"/>
        <v>4.3971428571428592E-2</v>
      </c>
      <c r="HB31" s="64">
        <f t="shared" si="111"/>
        <v>1.6771153846153887E-2</v>
      </c>
      <c r="HC31" s="64">
        <f t="shared" si="112"/>
        <v>5.4150000000000361E-3</v>
      </c>
      <c r="HD31" s="280">
        <f t="shared" si="113"/>
        <v>2.2982399999999948E-2</v>
      </c>
      <c r="HE31" s="64"/>
      <c r="HF31" s="89">
        <v>2041</v>
      </c>
      <c r="HG31" s="278">
        <f t="shared" si="114"/>
        <v>1.0899999999999999</v>
      </c>
      <c r="HI31" s="278">
        <f t="shared" si="115"/>
        <v>0.5288044948610261</v>
      </c>
      <c r="HJ31" s="278">
        <f t="shared" si="116"/>
        <v>0.05</v>
      </c>
      <c r="HK31" s="64">
        <f t="shared" si="117"/>
        <v>7.548144272139129E-2</v>
      </c>
      <c r="HL31" s="64">
        <f t="shared" si="118"/>
        <v>7.7374079999999984E-2</v>
      </c>
      <c r="HM31" s="64">
        <f t="shared" si="119"/>
        <v>0.19571386861313872</v>
      </c>
      <c r="HN31" s="64">
        <f t="shared" si="120"/>
        <v>8.3294890510948905E-2</v>
      </c>
      <c r="HO31" s="64">
        <f t="shared" si="121"/>
        <v>4.019124087591238E-2</v>
      </c>
      <c r="HP31" s="64">
        <f t="shared" si="122"/>
        <v>4.3971428571428592E-2</v>
      </c>
      <c r="HQ31" s="64">
        <f t="shared" si="123"/>
        <v>1.6771153846153887E-2</v>
      </c>
      <c r="HR31" s="64">
        <f t="shared" si="124"/>
        <v>5.4150000000000361E-3</v>
      </c>
      <c r="HS31" s="280">
        <f t="shared" si="125"/>
        <v>2.2982399999999948E-2</v>
      </c>
      <c r="HT31" s="64"/>
      <c r="HU31" s="89">
        <v>2041</v>
      </c>
      <c r="HV31" s="278">
        <f t="shared" si="126"/>
        <v>1.0899999999999999</v>
      </c>
      <c r="HX31" s="278">
        <f t="shared" si="127"/>
        <v>0.5568734562217218</v>
      </c>
      <c r="HY31" s="278">
        <f t="shared" si="128"/>
        <v>0.05</v>
      </c>
      <c r="HZ31" s="64">
        <f t="shared" si="129"/>
        <v>3.7740721360695624E-2</v>
      </c>
      <c r="IA31" s="64">
        <f t="shared" si="130"/>
        <v>8.7045839999999972E-2</v>
      </c>
      <c r="IB31" s="64">
        <f t="shared" si="131"/>
        <v>0.19571386861313872</v>
      </c>
      <c r="IC31" s="64">
        <f t="shared" si="132"/>
        <v>8.3294890510948905E-2</v>
      </c>
      <c r="ID31" s="64">
        <f t="shared" si="133"/>
        <v>4.019124087591238E-2</v>
      </c>
      <c r="IE31" s="64">
        <f t="shared" si="134"/>
        <v>4.3971428571428592E-2</v>
      </c>
      <c r="IF31" s="64">
        <f t="shared" si="135"/>
        <v>1.6771153846153887E-2</v>
      </c>
      <c r="IG31" s="64">
        <f t="shared" si="136"/>
        <v>5.4150000000000361E-3</v>
      </c>
      <c r="IH31" s="280">
        <f t="shared" si="137"/>
        <v>2.2982399999999948E-2</v>
      </c>
      <c r="II31" s="64"/>
      <c r="IJ31" s="89">
        <v>2041</v>
      </c>
      <c r="IK31" s="278">
        <f t="shared" si="138"/>
        <v>1.0899999999999999</v>
      </c>
      <c r="IM31" s="278">
        <f t="shared" si="139"/>
        <v>0.58494241758241738</v>
      </c>
      <c r="IN31" s="278">
        <f t="shared" si="140"/>
        <v>0.05</v>
      </c>
      <c r="IO31" s="64">
        <v>0</v>
      </c>
      <c r="IP31" s="64">
        <f t="shared" si="141"/>
        <v>9.6717599999999959E-2</v>
      </c>
      <c r="IQ31" s="64">
        <f t="shared" si="142"/>
        <v>0.19571386861313872</v>
      </c>
      <c r="IR31" s="64">
        <f t="shared" si="143"/>
        <v>8.3294890510948905E-2</v>
      </c>
      <c r="IS31" s="64">
        <f t="shared" si="144"/>
        <v>4.019124087591238E-2</v>
      </c>
      <c r="IT31" s="64">
        <f t="shared" si="145"/>
        <v>4.3971428571428592E-2</v>
      </c>
      <c r="IU31" s="64">
        <f t="shared" si="146"/>
        <v>1.6771153846153887E-2</v>
      </c>
      <c r="IV31" s="64">
        <f t="shared" si="147"/>
        <v>5.4150000000000361E-3</v>
      </c>
      <c r="IW31" s="280">
        <f t="shared" si="148"/>
        <v>2.2982399999999948E-2</v>
      </c>
      <c r="IX31" s="64"/>
      <c r="IY31" s="3">
        <f t="shared" si="149"/>
        <v>0.25750000000000028</v>
      </c>
      <c r="IZ31">
        <f t="shared" si="34"/>
        <v>2041</v>
      </c>
      <c r="JA31" s="3">
        <f t="shared" si="150"/>
        <v>17.138145282295483</v>
      </c>
      <c r="JB31" s="353">
        <f>HLOOKUP('1 StrategyMix for CarbonTargets'!$V$46,'Stress calculations'!JI$8:JU$39,24,FALSE)</f>
        <v>16.019708201784841</v>
      </c>
      <c r="JC31" s="3">
        <f t="shared" si="151"/>
        <v>22.439999999999998</v>
      </c>
      <c r="JD31" s="353">
        <f t="shared" si="152"/>
        <v>23.621052631578944</v>
      </c>
      <c r="JE31" s="418">
        <f t="shared" si="35"/>
        <v>0.25750000000000006</v>
      </c>
      <c r="JF31" s="368">
        <f t="shared" si="153"/>
        <v>11.494999999999996</v>
      </c>
      <c r="JG31" s="369">
        <f t="shared" si="154"/>
        <v>12.099999999999996</v>
      </c>
      <c r="JH31" s="363">
        <f t="shared" si="155"/>
        <v>14.736270122378958</v>
      </c>
      <c r="JI31" s="362">
        <f t="shared" si="36"/>
        <v>15.511863286714693</v>
      </c>
      <c r="JJ31" s="366">
        <f t="shared" si="37"/>
        <v>15.218722791695598</v>
      </c>
      <c r="JK31" s="367">
        <f t="shared" si="8"/>
        <v>16.019708201784841</v>
      </c>
      <c r="JL31" s="363">
        <f t="shared" si="38"/>
        <v>15.701175461012234</v>
      </c>
      <c r="JM31" s="362">
        <f t="shared" si="39"/>
        <v>16.527553116854985</v>
      </c>
      <c r="JN31" s="366">
        <f t="shared" si="156"/>
        <v>16.183628130328866</v>
      </c>
      <c r="JO31" s="367">
        <f t="shared" si="40"/>
        <v>17.035398031925123</v>
      </c>
      <c r="JP31" s="363">
        <f t="shared" si="157"/>
        <v>16.666080799645513</v>
      </c>
      <c r="JQ31" s="362">
        <f t="shared" si="41"/>
        <v>17.543242946995278</v>
      </c>
      <c r="JR31" s="366">
        <f t="shared" si="158"/>
        <v>16.902113040970498</v>
      </c>
      <c r="JS31" s="367">
        <f t="shared" si="42"/>
        <v>17.791697937863685</v>
      </c>
      <c r="JT31" s="363">
        <f t="shared" si="159"/>
        <v>17.138145282295483</v>
      </c>
      <c r="JU31" s="362">
        <f t="shared" si="43"/>
        <v>18.040152928732088</v>
      </c>
      <c r="JW31" t="s">
        <v>259</v>
      </c>
    </row>
    <row r="32" spans="1:283">
      <c r="A32" s="259">
        <f>'1 StrategyMix for CarbonTargets'!V31</f>
        <v>0.2</v>
      </c>
      <c r="B32" s="247"/>
      <c r="C32" s="247"/>
      <c r="D32" s="247"/>
      <c r="E32" s="293"/>
      <c r="F32" s="293"/>
      <c r="G32" s="294" t="s">
        <v>94</v>
      </c>
      <c r="H32" s="302" cm="1">
        <f t="array" ref="H32">INDEX('SHIFT_from car driver'!AJ10:AJ54,MATCH(1,(A9='SHIFT_from car driver'!A10:A54)*(A32='SHIFT_from car driver'!B10:B54),0))</f>
        <v>4.1479332849891234E-2</v>
      </c>
      <c r="I32" s="304" cm="1">
        <f t="array" ref="I32">INDEX('SHIFT_from car driver'!AF10:AF54,MATCH(1,(A9='SHIFT_from car driver'!A10:A54)*(A32='SHIFT_from car driver'!B10:B54),0))</f>
        <v>4.6833422032996286E-2</v>
      </c>
      <c r="J32" s="305" cm="1">
        <f t="array" ref="J32">INDEX('SHIFT_from car driver'!AB10:AB54,MATCH(1,(A9='SHIFT_from car driver'!A10:A54)*(A32='SHIFT_from car driver'!B10:B54),0))</f>
        <v>0.10437956204379562</v>
      </c>
      <c r="K32" s="64"/>
      <c r="AO32" s="89">
        <v>2042</v>
      </c>
      <c r="AP32" s="170">
        <f t="shared" si="160"/>
        <v>-2.112E-2</v>
      </c>
      <c r="AQ32" s="170">
        <f t="shared" si="160"/>
        <v>-5.0000000000000027E-3</v>
      </c>
      <c r="AR32" s="170">
        <f t="shared" si="160"/>
        <v>-1.5576923076923073E-2</v>
      </c>
      <c r="AS32" s="170">
        <f t="shared" si="160"/>
        <v>-4.1785714285714287E-2</v>
      </c>
      <c r="AU32" s="170">
        <f t="shared" si="161"/>
        <v>-3.6934306569343059E-2</v>
      </c>
      <c r="AV32" s="170">
        <f t="shared" si="162"/>
        <v>-7.6545012165450149E-2</v>
      </c>
      <c r="AW32" s="170">
        <f t="shared" si="163"/>
        <v>-0.1798540145985402</v>
      </c>
      <c r="AY32" s="170">
        <f t="shared" si="164"/>
        <v>-8.4839999999999971E-2</v>
      </c>
      <c r="AZ32" s="278">
        <f t="shared" si="165"/>
        <v>8.4839999999999968E-3</v>
      </c>
      <c r="BA32" s="284">
        <f t="shared" si="166"/>
        <v>-3.3737990817391282E-2</v>
      </c>
      <c r="BB32" s="276">
        <f t="shared" si="167"/>
        <v>-3.8794749913043457E-2</v>
      </c>
      <c r="BC32" s="277">
        <f t="shared" si="168"/>
        <v>-3.3737990817391282E-2</v>
      </c>
      <c r="BD32" s="278">
        <f t="shared" si="169"/>
        <v>8.4839999999999968E-3</v>
      </c>
      <c r="BE32" s="284">
        <f t="shared" si="170"/>
        <v>-3.3737990817391324E-2</v>
      </c>
      <c r="BF32" s="276">
        <f t="shared" si="171"/>
        <v>-3.8794749913043457E-2</v>
      </c>
      <c r="BG32" s="277">
        <f t="shared" si="9"/>
        <v>-3.3737990817391324E-2</v>
      </c>
      <c r="BH32" s="278">
        <f t="shared" si="172"/>
        <v>1.6967999999999994E-2</v>
      </c>
      <c r="BI32" s="284">
        <f t="shared" si="173"/>
        <v>-6.7475981634782634E-2</v>
      </c>
      <c r="BJ32" s="276">
        <f t="shared" si="174"/>
        <v>-7.7589499826087024E-2</v>
      </c>
      <c r="BK32" s="277">
        <f t="shared" si="10"/>
        <v>-6.7475981634782634E-2</v>
      </c>
      <c r="BL32" s="278">
        <f t="shared" si="175"/>
        <v>1.6967999999999994E-2</v>
      </c>
      <c r="BM32" s="284">
        <f t="shared" si="176"/>
        <v>-6.7475981634782592E-2</v>
      </c>
      <c r="BN32" s="276">
        <f t="shared" si="177"/>
        <v>-7.7589499826086886E-2</v>
      </c>
      <c r="BO32" s="277">
        <f t="shared" si="11"/>
        <v>-6.7475981634782592E-2</v>
      </c>
      <c r="BP32" s="278">
        <f t="shared" si="178"/>
        <v>1.6967999999999994E-2</v>
      </c>
      <c r="BQ32" s="284">
        <f t="shared" si="179"/>
        <v>-6.7475981634782647E-2</v>
      </c>
      <c r="BR32" s="276">
        <f t="shared" si="180"/>
        <v>-7.7589499826086997E-2</v>
      </c>
      <c r="BS32" s="277">
        <f t="shared" si="12"/>
        <v>-6.7475981634782647E-2</v>
      </c>
      <c r="BT32" s="278">
        <f t="shared" si="181"/>
        <v>1.6967999999999994E-2</v>
      </c>
      <c r="BU32" s="284">
        <f t="shared" si="182"/>
        <v>-6.7475981634782592E-2</v>
      </c>
      <c r="BV32" s="276">
        <f t="shared" si="183"/>
        <v>-7.7589499826086941E-2</v>
      </c>
      <c r="BW32" s="278">
        <f t="shared" si="13"/>
        <v>-6.7475981634782592E-2</v>
      </c>
      <c r="BX32" s="391">
        <f t="shared" si="44"/>
        <v>-1.6968E-2</v>
      </c>
      <c r="BY32" s="388">
        <f t="shared" si="45"/>
        <v>-0.26990392653913048</v>
      </c>
      <c r="BZ32" s="409">
        <f t="shared" si="184"/>
        <v>0.79999999999999971</v>
      </c>
      <c r="CB32" s="279">
        <f t="shared" si="185"/>
        <v>-0.4616559706959707</v>
      </c>
      <c r="CC32" s="64">
        <f t="shared" si="15"/>
        <v>-0.48690996151336197</v>
      </c>
      <c r="CD32" s="64">
        <f t="shared" si="16"/>
        <v>-0.51216395233075329</v>
      </c>
      <c r="CE32" s="64">
        <f t="shared" si="17"/>
        <v>-0.56267193396553594</v>
      </c>
      <c r="CF32" s="64">
        <f t="shared" si="18"/>
        <v>-0.61317991560031859</v>
      </c>
      <c r="CG32" s="64">
        <f t="shared" si="19"/>
        <v>-0.66368789723510124</v>
      </c>
      <c r="CH32" s="64">
        <f t="shared" si="20"/>
        <v>-0.71419587886988389</v>
      </c>
      <c r="CI32">
        <v>2042</v>
      </c>
      <c r="CJ32" s="240"/>
      <c r="CL32">
        <v>2042</v>
      </c>
      <c r="CM32" s="3">
        <f t="shared" si="46"/>
        <v>0.95</v>
      </c>
      <c r="CN32" s="64">
        <f t="shared" si="21"/>
        <v>0.92887999999999993</v>
      </c>
      <c r="CO32" s="64">
        <f t="shared" si="21"/>
        <v>0.92387999999999992</v>
      </c>
      <c r="CP32" s="64">
        <f t="shared" si="21"/>
        <v>0.90830307692307688</v>
      </c>
      <c r="CQ32" s="64">
        <f t="shared" si="21"/>
        <v>0.86651736263736256</v>
      </c>
      <c r="CR32" s="64">
        <f t="shared" si="22"/>
        <v>0.82958305606801952</v>
      </c>
      <c r="CS32" s="64">
        <f t="shared" si="22"/>
        <v>0.75303804390256934</v>
      </c>
      <c r="CT32" s="64">
        <f t="shared" si="22"/>
        <v>0.57318402930402912</v>
      </c>
      <c r="CU32" s="64">
        <f t="shared" si="23"/>
        <v>0.48834402930402915</v>
      </c>
      <c r="CV32" s="64">
        <f t="shared" si="23"/>
        <v>0.49682802930402914</v>
      </c>
      <c r="CW32" s="65">
        <f t="shared" si="47"/>
        <v>0.46309003848663788</v>
      </c>
      <c r="CX32" s="64">
        <f t="shared" si="48"/>
        <v>0.50531202930402919</v>
      </c>
      <c r="CY32" s="65">
        <f t="shared" si="49"/>
        <v>0.43783604766924661</v>
      </c>
      <c r="CZ32" s="64">
        <f t="shared" si="50"/>
        <v>0.52228002930402917</v>
      </c>
      <c r="DA32" s="65">
        <f t="shared" si="51"/>
        <v>0.38732806603446396</v>
      </c>
      <c r="DB32" s="64">
        <f t="shared" si="52"/>
        <v>0.53924802930402915</v>
      </c>
      <c r="DC32" s="65">
        <f t="shared" si="53"/>
        <v>0.33682008439968136</v>
      </c>
      <c r="DD32" s="64">
        <f t="shared" si="54"/>
        <v>0.55621602930402914</v>
      </c>
      <c r="DE32" s="65">
        <f t="shared" si="55"/>
        <v>0.28631210276489871</v>
      </c>
      <c r="DF32" s="64">
        <f t="shared" si="56"/>
        <v>0.57318402930402912</v>
      </c>
      <c r="DG32" s="65">
        <f t="shared" si="57"/>
        <v>0.23580412113011606</v>
      </c>
      <c r="DL32">
        <v>2042</v>
      </c>
      <c r="DM32" s="64">
        <f t="shared" si="58"/>
        <v>0.23580412113011606</v>
      </c>
      <c r="DN32" s="64">
        <f t="shared" si="59"/>
        <v>0.28631210276489871</v>
      </c>
      <c r="DO32" s="64">
        <f t="shared" si="60"/>
        <v>0.33682008439968136</v>
      </c>
      <c r="DP32" s="64">
        <f t="shared" si="61"/>
        <v>0.38732806603446396</v>
      </c>
      <c r="DQ32" s="64">
        <f t="shared" si="62"/>
        <v>0.43783604766924661</v>
      </c>
      <c r="DR32" s="64">
        <f t="shared" si="63"/>
        <v>0.46309003848663788</v>
      </c>
      <c r="DS32" s="64">
        <f t="shared" si="24"/>
        <v>0.48834402930402915</v>
      </c>
      <c r="DT32" s="64">
        <f t="shared" si="25"/>
        <v>0.57318402930402912</v>
      </c>
      <c r="DU32" s="64">
        <f t="shared" si="26"/>
        <v>0.75303804390256934</v>
      </c>
      <c r="DV32" s="64">
        <f t="shared" si="27"/>
        <v>0.82958305606801952</v>
      </c>
      <c r="DW32" s="64">
        <f t="shared" si="28"/>
        <v>0.86651736263736256</v>
      </c>
      <c r="DX32" s="64">
        <f t="shared" si="29"/>
        <v>0.90830307692307688</v>
      </c>
      <c r="DY32" s="64">
        <f t="shared" si="30"/>
        <v>0.92387999999999992</v>
      </c>
      <c r="DZ32" s="64">
        <f t="shared" si="31"/>
        <v>0.92887999999999993</v>
      </c>
      <c r="EA32" s="3">
        <f t="shared" si="64"/>
        <v>0.95</v>
      </c>
      <c r="EB32">
        <v>2042</v>
      </c>
      <c r="EC32" s="269">
        <f t="shared" si="65"/>
        <v>0.23580412113011617</v>
      </c>
      <c r="ED32" s="269">
        <f t="shared" si="66"/>
        <v>0.05</v>
      </c>
      <c r="EE32" s="64">
        <f t="shared" si="186"/>
        <v>5.050798163478265E-2</v>
      </c>
      <c r="EF32" s="64">
        <f t="shared" si="186"/>
        <v>5.050798163478265E-2</v>
      </c>
      <c r="EG32" s="64">
        <f t="shared" si="186"/>
        <v>5.0507981634782595E-2</v>
      </c>
      <c r="EH32" s="64">
        <f t="shared" si="186"/>
        <v>5.050798163478265E-2</v>
      </c>
      <c r="EI32" s="64">
        <f t="shared" si="186"/>
        <v>2.525399081739127E-2</v>
      </c>
      <c r="EJ32" s="64">
        <f t="shared" si="186"/>
        <v>2.525399081739127E-2</v>
      </c>
      <c r="EK32" s="64">
        <f t="shared" si="186"/>
        <v>8.4839999999999971E-2</v>
      </c>
      <c r="EL32" s="64">
        <f t="shared" si="186"/>
        <v>0.17985401459854022</v>
      </c>
      <c r="EM32" s="64">
        <f t="shared" si="186"/>
        <v>7.6545012165450177E-2</v>
      </c>
      <c r="EN32" s="64">
        <f t="shared" si="186"/>
        <v>3.6934306569343045E-2</v>
      </c>
      <c r="EO32" s="64">
        <f t="shared" si="186"/>
        <v>4.1785714285714315E-2</v>
      </c>
      <c r="EP32" s="64">
        <f t="shared" si="186"/>
        <v>1.5576923076923044E-2</v>
      </c>
      <c r="EQ32" s="64">
        <f t="shared" si="186"/>
        <v>5.0000000000000044E-3</v>
      </c>
      <c r="ER32" s="64">
        <f t="shared" si="186"/>
        <v>2.1120000000000028E-2</v>
      </c>
      <c r="EX32" s="89">
        <v>2042</v>
      </c>
      <c r="EY32" s="278">
        <f t="shared" si="67"/>
        <v>1.0966666666666667</v>
      </c>
      <c r="EZ32" s="278"/>
      <c r="FA32" s="278">
        <f t="shared" si="68"/>
        <v>0.27772205889586643</v>
      </c>
      <c r="FB32" s="278">
        <f t="shared" si="33"/>
        <v>0.05</v>
      </c>
      <c r="FC32" s="64">
        <f t="shared" si="69"/>
        <v>0.38686229470608702</v>
      </c>
      <c r="FD32" s="64">
        <f t="shared" si="70"/>
        <v>7.9565983431469556E-18</v>
      </c>
      <c r="FE32" s="64">
        <f t="shared" si="71"/>
        <v>0.20623260340632613</v>
      </c>
      <c r="FF32" s="64">
        <f t="shared" si="72"/>
        <v>8.7771613949716207E-2</v>
      </c>
      <c r="FG32" s="64">
        <f t="shared" si="73"/>
        <v>4.2351338199513359E-2</v>
      </c>
      <c r="FH32" s="64">
        <f t="shared" si="74"/>
        <v>4.791428571428575E-2</v>
      </c>
      <c r="FI32" s="64">
        <f t="shared" si="75"/>
        <v>1.7861538461538425E-2</v>
      </c>
      <c r="FJ32" s="64">
        <f t="shared" si="76"/>
        <v>5.7333333333333385E-3</v>
      </c>
      <c r="FK32" s="280">
        <f t="shared" si="77"/>
        <v>2.4217600000000034E-2</v>
      </c>
      <c r="FL32" s="64"/>
      <c r="FM32" s="89">
        <v>2042</v>
      </c>
      <c r="FN32" s="278">
        <f t="shared" si="78"/>
        <v>1.0966666666666667</v>
      </c>
      <c r="FP32" s="278">
        <f t="shared" si="79"/>
        <v>0.33563787783708376</v>
      </c>
      <c r="FQ32" s="278">
        <f t="shared" si="80"/>
        <v>0.05</v>
      </c>
      <c r="FR32" s="64">
        <f t="shared" si="81"/>
        <v>0.30948983576486966</v>
      </c>
      <c r="FS32" s="64">
        <f t="shared" si="82"/>
        <v>1.9456640000000001E-2</v>
      </c>
      <c r="FT32" s="64">
        <f t="shared" si="83"/>
        <v>0.20623260340632613</v>
      </c>
      <c r="FU32" s="64">
        <f t="shared" si="84"/>
        <v>8.7771613949716207E-2</v>
      </c>
      <c r="FV32" s="64">
        <f t="shared" si="85"/>
        <v>4.2351338199513359E-2</v>
      </c>
      <c r="FW32" s="64">
        <f t="shared" si="86"/>
        <v>4.791428571428575E-2</v>
      </c>
      <c r="FX32" s="64">
        <f t="shared" si="87"/>
        <v>1.7861538461538425E-2</v>
      </c>
      <c r="FY32" s="64">
        <f t="shared" si="88"/>
        <v>5.7333333333333385E-3</v>
      </c>
      <c r="FZ32" s="280">
        <f t="shared" si="89"/>
        <v>2.4217600000000034E-2</v>
      </c>
      <c r="GA32" s="64"/>
      <c r="GB32" s="89">
        <v>2042</v>
      </c>
      <c r="GC32" s="278">
        <f t="shared" si="90"/>
        <v>1.0966666666666667</v>
      </c>
      <c r="GE32" s="278">
        <f t="shared" si="91"/>
        <v>0.39355369677830121</v>
      </c>
      <c r="GF32" s="278">
        <f t="shared" si="92"/>
        <v>0.05</v>
      </c>
      <c r="GG32" s="64">
        <f t="shared" si="93"/>
        <v>0.23211737682365222</v>
      </c>
      <c r="GH32" s="64">
        <f t="shared" si="94"/>
        <v>3.8913279999999995E-2</v>
      </c>
      <c r="GI32" s="64">
        <f t="shared" si="95"/>
        <v>0.20623260340632613</v>
      </c>
      <c r="GJ32" s="64">
        <f t="shared" si="96"/>
        <v>8.7771613949716207E-2</v>
      </c>
      <c r="GK32" s="64">
        <f t="shared" si="97"/>
        <v>4.2351338199513359E-2</v>
      </c>
      <c r="GL32" s="64">
        <f t="shared" si="98"/>
        <v>4.791428571428575E-2</v>
      </c>
      <c r="GM32" s="64">
        <f t="shared" si="99"/>
        <v>1.7861538461538425E-2</v>
      </c>
      <c r="GN32" s="64">
        <f t="shared" si="100"/>
        <v>5.7333333333333385E-3</v>
      </c>
      <c r="GO32" s="280">
        <f t="shared" si="101"/>
        <v>2.4217600000000034E-2</v>
      </c>
      <c r="GP32" s="64"/>
      <c r="GQ32" s="89">
        <v>2042</v>
      </c>
      <c r="GR32" s="278">
        <f t="shared" si="102"/>
        <v>1.0966666666666667</v>
      </c>
      <c r="GT32" s="278">
        <f t="shared" si="103"/>
        <v>0.45146951571951865</v>
      </c>
      <c r="GU32" s="278">
        <f t="shared" si="104"/>
        <v>0.05</v>
      </c>
      <c r="GV32" s="64">
        <f t="shared" si="105"/>
        <v>0.15474491788243483</v>
      </c>
      <c r="GW32" s="64">
        <f t="shared" si="106"/>
        <v>5.8369919999999992E-2</v>
      </c>
      <c r="GX32" s="64">
        <f t="shared" si="107"/>
        <v>0.20623260340632613</v>
      </c>
      <c r="GY32" s="64">
        <f t="shared" si="108"/>
        <v>8.7771613949716207E-2</v>
      </c>
      <c r="GZ32" s="64">
        <f t="shared" si="109"/>
        <v>4.2351338199513359E-2</v>
      </c>
      <c r="HA32" s="64">
        <f t="shared" si="110"/>
        <v>4.791428571428575E-2</v>
      </c>
      <c r="HB32" s="64">
        <f t="shared" si="111"/>
        <v>1.7861538461538425E-2</v>
      </c>
      <c r="HC32" s="64">
        <f t="shared" si="112"/>
        <v>5.7333333333333385E-3</v>
      </c>
      <c r="HD32" s="280">
        <f t="shared" si="113"/>
        <v>2.4217600000000034E-2</v>
      </c>
      <c r="HE32" s="64"/>
      <c r="HF32" s="89">
        <v>2042</v>
      </c>
      <c r="HG32" s="278">
        <f t="shared" si="114"/>
        <v>1.0966666666666667</v>
      </c>
      <c r="HI32" s="278">
        <f t="shared" si="115"/>
        <v>0.50938533466073599</v>
      </c>
      <c r="HJ32" s="278">
        <f t="shared" si="116"/>
        <v>0.05</v>
      </c>
      <c r="HK32" s="64">
        <f t="shared" si="117"/>
        <v>7.7372458941217387E-2</v>
      </c>
      <c r="HL32" s="64">
        <f t="shared" si="118"/>
        <v>7.7826559999999989E-2</v>
      </c>
      <c r="HM32" s="64">
        <f t="shared" si="119"/>
        <v>0.20623260340632613</v>
      </c>
      <c r="HN32" s="64">
        <f t="shared" si="120"/>
        <v>8.7771613949716207E-2</v>
      </c>
      <c r="HO32" s="64">
        <f t="shared" si="121"/>
        <v>4.2351338199513359E-2</v>
      </c>
      <c r="HP32" s="64">
        <f t="shared" si="122"/>
        <v>4.791428571428575E-2</v>
      </c>
      <c r="HQ32" s="64">
        <f t="shared" si="123"/>
        <v>1.7861538461538425E-2</v>
      </c>
      <c r="HR32" s="64">
        <f t="shared" si="124"/>
        <v>5.7333333333333385E-3</v>
      </c>
      <c r="HS32" s="280">
        <f t="shared" si="125"/>
        <v>2.4217600000000034E-2</v>
      </c>
      <c r="HT32" s="64"/>
      <c r="HU32" s="89">
        <v>2042</v>
      </c>
      <c r="HV32" s="278">
        <f t="shared" si="126"/>
        <v>1.0966666666666667</v>
      </c>
      <c r="HX32" s="278">
        <f t="shared" si="127"/>
        <v>0.53834324413134471</v>
      </c>
      <c r="HY32" s="278">
        <f t="shared" si="128"/>
        <v>0.05</v>
      </c>
      <c r="HZ32" s="64">
        <f t="shared" si="129"/>
        <v>3.8686229470608673E-2</v>
      </c>
      <c r="IA32" s="64">
        <f t="shared" si="130"/>
        <v>8.7554879999999974E-2</v>
      </c>
      <c r="IB32" s="64">
        <f t="shared" si="131"/>
        <v>0.20623260340632613</v>
      </c>
      <c r="IC32" s="64">
        <f t="shared" si="132"/>
        <v>8.7771613949716207E-2</v>
      </c>
      <c r="ID32" s="64">
        <f t="shared" si="133"/>
        <v>4.2351338199513359E-2</v>
      </c>
      <c r="IE32" s="64">
        <f t="shared" si="134"/>
        <v>4.791428571428575E-2</v>
      </c>
      <c r="IF32" s="64">
        <f t="shared" si="135"/>
        <v>1.7861538461538425E-2</v>
      </c>
      <c r="IG32" s="64">
        <f t="shared" si="136"/>
        <v>5.7333333333333385E-3</v>
      </c>
      <c r="IH32" s="280">
        <f t="shared" si="137"/>
        <v>2.4217600000000034E-2</v>
      </c>
      <c r="II32" s="64"/>
      <c r="IJ32" s="89">
        <v>2042</v>
      </c>
      <c r="IK32" s="278">
        <f t="shared" si="138"/>
        <v>1.0966666666666667</v>
      </c>
      <c r="IM32" s="278">
        <f t="shared" si="139"/>
        <v>0.56730115360195343</v>
      </c>
      <c r="IN32" s="278">
        <f t="shared" si="140"/>
        <v>0.05</v>
      </c>
      <c r="IO32" s="64">
        <v>0</v>
      </c>
      <c r="IP32" s="64">
        <f t="shared" si="141"/>
        <v>9.7283199999999972E-2</v>
      </c>
      <c r="IQ32" s="64">
        <f t="shared" si="142"/>
        <v>0.20623260340632613</v>
      </c>
      <c r="IR32" s="64">
        <f t="shared" si="143"/>
        <v>8.7771613949716207E-2</v>
      </c>
      <c r="IS32" s="64">
        <f t="shared" si="144"/>
        <v>4.2351338199513359E-2</v>
      </c>
      <c r="IT32" s="64">
        <f t="shared" si="145"/>
        <v>4.791428571428575E-2</v>
      </c>
      <c r="IU32" s="64">
        <f t="shared" si="146"/>
        <v>1.7861538461538425E-2</v>
      </c>
      <c r="IV32" s="64">
        <f t="shared" si="147"/>
        <v>5.7333333333333385E-3</v>
      </c>
      <c r="IW32" s="280">
        <f t="shared" si="148"/>
        <v>2.4217600000000034E-2</v>
      </c>
      <c r="IX32" s="64"/>
      <c r="IY32" s="3">
        <f t="shared" si="149"/>
        <v>0.24000000000000021</v>
      </c>
      <c r="IZ32">
        <f t="shared" si="34"/>
        <v>2042</v>
      </c>
      <c r="JA32" s="3">
        <f t="shared" si="150"/>
        <v>17.705446435897436</v>
      </c>
      <c r="JB32" s="353">
        <f>HLOOKUP('1 StrategyMix for CarbonTargets'!$V$46,'Stress calculations'!JI$8:JU$39,25,FALSE)</f>
        <v>16.373011231087034</v>
      </c>
      <c r="JC32" s="3">
        <f t="shared" si="151"/>
        <v>23.536666666666665</v>
      </c>
      <c r="JD32" s="353">
        <f t="shared" si="152"/>
        <v>24.775438596491227</v>
      </c>
      <c r="JE32" s="418">
        <f t="shared" si="35"/>
        <v>0.24000000000000007</v>
      </c>
      <c r="JF32" s="368">
        <f t="shared" si="153"/>
        <v>11.734999999999996</v>
      </c>
      <c r="JG32" s="369">
        <f t="shared" si="154"/>
        <v>12.352631578947365</v>
      </c>
      <c r="JH32" s="363">
        <f t="shared" si="155"/>
        <v>15.013992181274824</v>
      </c>
      <c r="JI32" s="362">
        <f t="shared" si="36"/>
        <v>15.804202296078763</v>
      </c>
      <c r="JJ32" s="366">
        <f t="shared" si="37"/>
        <v>15.554360669532681</v>
      </c>
      <c r="JK32" s="367">
        <f t="shared" si="8"/>
        <v>16.373011231087034</v>
      </c>
      <c r="JL32" s="363">
        <f t="shared" si="38"/>
        <v>16.094729157790535</v>
      </c>
      <c r="JM32" s="362">
        <f t="shared" si="39"/>
        <v>16.941820166095301</v>
      </c>
      <c r="JN32" s="366">
        <f t="shared" si="156"/>
        <v>16.635097646048386</v>
      </c>
      <c r="JO32" s="367">
        <f t="shared" si="40"/>
        <v>17.510629101103564</v>
      </c>
      <c r="JP32" s="363">
        <f t="shared" si="157"/>
        <v>17.175466134306248</v>
      </c>
      <c r="JQ32" s="362">
        <f t="shared" si="41"/>
        <v>18.079438036111842</v>
      </c>
      <c r="JR32" s="366">
        <f t="shared" si="158"/>
        <v>17.440456285101842</v>
      </c>
      <c r="JS32" s="367">
        <f t="shared" si="42"/>
        <v>18.358375036949308</v>
      </c>
      <c r="JT32" s="363">
        <f t="shared" si="159"/>
        <v>17.705446435897436</v>
      </c>
      <c r="JU32" s="362">
        <f t="shared" si="43"/>
        <v>18.637312037786774</v>
      </c>
      <c r="JW32" t="s">
        <v>260</v>
      </c>
    </row>
    <row r="33" spans="1:283">
      <c r="A33" s="259">
        <f>'1 StrategyMix for CarbonTargets'!V33</f>
        <v>0.2</v>
      </c>
      <c r="B33" s="247"/>
      <c r="C33" s="247"/>
      <c r="D33" s="247"/>
      <c r="E33" s="293"/>
      <c r="F33" s="293"/>
      <c r="G33" s="294" t="s">
        <v>95</v>
      </c>
      <c r="H33" s="306" cm="1">
        <f t="array" ref="H33">INDEX('SHIFT_from car driver'!AK10:AK54,MATCH(1,(A9='SHIFT_from car driver'!A10:A54)*(A33='SHIFT_from car driver'!B10:B54),0))</f>
        <v>0.34807831762146491</v>
      </c>
      <c r="I33" s="307" cm="1">
        <f t="array" ref="I33">INDEX('SHIFT_from car driver'!AG10:AG54,MATCH(1,(A9='SHIFT_from car driver'!A10:A54)*(A33='SHIFT_from car driver'!B10:B54),0))</f>
        <v>0.32953698775944656</v>
      </c>
      <c r="J33" s="308" cm="1">
        <f t="array" ref="J33">INDEX('SHIFT_from car driver'!AC10:AC54,MATCH(1,(A9='SHIFT_from car driver'!A10:A54)*(A33='SHIFT_from car driver'!B10:B54),0))</f>
        <v>0.24525547445255474</v>
      </c>
      <c r="K33" s="64"/>
      <c r="AO33" s="89">
        <v>2043</v>
      </c>
      <c r="AP33" s="170">
        <f t="shared" si="160"/>
        <v>-2.2079999999999999E-2</v>
      </c>
      <c r="AQ33" s="170">
        <f t="shared" si="160"/>
        <v>-5.2500000000000029E-3</v>
      </c>
      <c r="AR33" s="170">
        <f t="shared" si="160"/>
        <v>-1.644230769230769E-2</v>
      </c>
      <c r="AS33" s="170">
        <f t="shared" si="160"/>
        <v>-4.4999999999999998E-2</v>
      </c>
      <c r="AU33" s="170">
        <f t="shared" si="161"/>
        <v>-3.8613138686131379E-2</v>
      </c>
      <c r="AV33" s="170">
        <f t="shared" si="162"/>
        <v>-8.0024330900243343E-2</v>
      </c>
      <c r="AW33" s="170">
        <f t="shared" si="163"/>
        <v>-0.18802919708029203</v>
      </c>
      <c r="AY33" s="170">
        <f t="shared" si="164"/>
        <v>-8.4839999999999971E-2</v>
      </c>
      <c r="AZ33" s="278">
        <f t="shared" si="165"/>
        <v>8.4839999999999968E-3</v>
      </c>
      <c r="BA33" s="284">
        <f t="shared" si="166"/>
        <v>-3.4370085704347804E-2</v>
      </c>
      <c r="BB33" s="276">
        <f t="shared" si="167"/>
        <v>-3.8794749913043457E-2</v>
      </c>
      <c r="BC33" s="277">
        <f t="shared" si="168"/>
        <v>-3.4370085704347804E-2</v>
      </c>
      <c r="BD33" s="278">
        <f t="shared" si="169"/>
        <v>8.4839999999999968E-3</v>
      </c>
      <c r="BE33" s="284">
        <f t="shared" si="170"/>
        <v>-3.4370085704347846E-2</v>
      </c>
      <c r="BF33" s="276">
        <f t="shared" si="171"/>
        <v>-3.8794749913043457E-2</v>
      </c>
      <c r="BG33" s="277">
        <f t="shared" si="9"/>
        <v>-3.4370085704347846E-2</v>
      </c>
      <c r="BH33" s="278">
        <f t="shared" si="172"/>
        <v>1.6967999999999994E-2</v>
      </c>
      <c r="BI33" s="284">
        <f t="shared" si="173"/>
        <v>-6.8740171408695677E-2</v>
      </c>
      <c r="BJ33" s="276">
        <f t="shared" si="174"/>
        <v>-7.7589499826087024E-2</v>
      </c>
      <c r="BK33" s="277">
        <f t="shared" si="10"/>
        <v>-6.8740171408695677E-2</v>
      </c>
      <c r="BL33" s="278">
        <f t="shared" si="175"/>
        <v>1.6967999999999994E-2</v>
      </c>
      <c r="BM33" s="284">
        <f t="shared" si="176"/>
        <v>-6.8740171408695636E-2</v>
      </c>
      <c r="BN33" s="276">
        <f t="shared" si="177"/>
        <v>-7.7589499826086886E-2</v>
      </c>
      <c r="BO33" s="277">
        <f t="shared" si="11"/>
        <v>-6.8740171408695636E-2</v>
      </c>
      <c r="BP33" s="278">
        <f t="shared" si="178"/>
        <v>1.6967999999999994E-2</v>
      </c>
      <c r="BQ33" s="284">
        <f t="shared" si="179"/>
        <v>-6.8740171408695691E-2</v>
      </c>
      <c r="BR33" s="276">
        <f t="shared" si="180"/>
        <v>-7.7589499826086997E-2</v>
      </c>
      <c r="BS33" s="277">
        <f t="shared" si="12"/>
        <v>-6.8740171408695691E-2</v>
      </c>
      <c r="BT33" s="278">
        <f t="shared" si="181"/>
        <v>1.6967999999999994E-2</v>
      </c>
      <c r="BU33" s="284">
        <f t="shared" si="182"/>
        <v>-6.8740171408695636E-2</v>
      </c>
      <c r="BV33" s="276">
        <f t="shared" si="183"/>
        <v>-7.7589499826086941E-2</v>
      </c>
      <c r="BW33" s="278">
        <f t="shared" si="13"/>
        <v>-6.8740171408695636E-2</v>
      </c>
      <c r="BX33" s="391">
        <f t="shared" si="44"/>
        <v>-1.6968E-2</v>
      </c>
      <c r="BY33" s="388">
        <f t="shared" si="45"/>
        <v>-0.27496068563478265</v>
      </c>
      <c r="BZ33" s="409">
        <f t="shared" si="184"/>
        <v>0.79999999999999971</v>
      </c>
      <c r="CB33" s="279">
        <f t="shared" si="185"/>
        <v>-0.48027897435897443</v>
      </c>
      <c r="CC33" s="64">
        <f t="shared" si="15"/>
        <v>-0.50616506006332229</v>
      </c>
      <c r="CD33" s="64">
        <f t="shared" si="16"/>
        <v>-0.5320511457676701</v>
      </c>
      <c r="CE33" s="64">
        <f t="shared" si="17"/>
        <v>-0.58382331717636582</v>
      </c>
      <c r="CF33" s="64">
        <f t="shared" si="18"/>
        <v>-0.63559548858506143</v>
      </c>
      <c r="CG33" s="64">
        <f t="shared" si="19"/>
        <v>-0.68736765999375715</v>
      </c>
      <c r="CH33" s="64">
        <f t="shared" si="20"/>
        <v>-0.73913983140245276</v>
      </c>
      <c r="CI33">
        <v>2043</v>
      </c>
      <c r="CJ33" s="240"/>
      <c r="CL33">
        <v>2043</v>
      </c>
      <c r="CM33" s="3">
        <f t="shared" si="46"/>
        <v>0.95</v>
      </c>
      <c r="CN33" s="64">
        <f t="shared" si="21"/>
        <v>0.92791999999999997</v>
      </c>
      <c r="CO33" s="64">
        <f t="shared" si="21"/>
        <v>0.92266999999999999</v>
      </c>
      <c r="CP33" s="64">
        <f t="shared" si="21"/>
        <v>0.90622769230769229</v>
      </c>
      <c r="CQ33" s="64">
        <f t="shared" si="21"/>
        <v>0.86122769230769225</v>
      </c>
      <c r="CR33" s="64">
        <f t="shared" si="22"/>
        <v>0.82261455362156088</v>
      </c>
      <c r="CS33" s="64">
        <f t="shared" si="22"/>
        <v>0.74259022272131758</v>
      </c>
      <c r="CT33" s="64">
        <f t="shared" si="22"/>
        <v>0.55456102564102561</v>
      </c>
      <c r="CU33" s="64">
        <f t="shared" si="23"/>
        <v>0.46972102564102564</v>
      </c>
      <c r="CV33" s="64">
        <f t="shared" si="23"/>
        <v>0.47820502564102563</v>
      </c>
      <c r="CW33" s="65">
        <f t="shared" si="47"/>
        <v>0.44383493993667783</v>
      </c>
      <c r="CX33" s="64">
        <f t="shared" si="48"/>
        <v>0.48668902564102562</v>
      </c>
      <c r="CY33" s="65">
        <f t="shared" si="49"/>
        <v>0.41794885423232997</v>
      </c>
      <c r="CZ33" s="64">
        <f t="shared" si="50"/>
        <v>0.50365702564102566</v>
      </c>
      <c r="DA33" s="65">
        <f t="shared" si="51"/>
        <v>0.36617668282363436</v>
      </c>
      <c r="DB33" s="64">
        <f t="shared" si="52"/>
        <v>0.52062502564102564</v>
      </c>
      <c r="DC33" s="65">
        <f t="shared" si="53"/>
        <v>0.31440451141493869</v>
      </c>
      <c r="DD33" s="64">
        <f t="shared" si="54"/>
        <v>0.53759302564102562</v>
      </c>
      <c r="DE33" s="65">
        <f t="shared" si="55"/>
        <v>0.26263234000624286</v>
      </c>
      <c r="DF33" s="64">
        <f t="shared" si="56"/>
        <v>0.55456102564102561</v>
      </c>
      <c r="DG33" s="65">
        <f t="shared" si="57"/>
        <v>0.21086016859754719</v>
      </c>
      <c r="DL33">
        <v>2043</v>
      </c>
      <c r="DM33" s="64">
        <f t="shared" si="58"/>
        <v>0.21086016859754719</v>
      </c>
      <c r="DN33" s="64">
        <f t="shared" si="59"/>
        <v>0.26263234000624286</v>
      </c>
      <c r="DO33" s="64">
        <f t="shared" si="60"/>
        <v>0.31440451141493869</v>
      </c>
      <c r="DP33" s="64">
        <f t="shared" si="61"/>
        <v>0.36617668282363436</v>
      </c>
      <c r="DQ33" s="64">
        <f t="shared" si="62"/>
        <v>0.41794885423232997</v>
      </c>
      <c r="DR33" s="64">
        <f t="shared" si="63"/>
        <v>0.44383493993667783</v>
      </c>
      <c r="DS33" s="64">
        <f t="shared" si="24"/>
        <v>0.46972102564102564</v>
      </c>
      <c r="DT33" s="64">
        <f t="shared" si="25"/>
        <v>0.55456102564102561</v>
      </c>
      <c r="DU33" s="64">
        <f t="shared" si="26"/>
        <v>0.74259022272131758</v>
      </c>
      <c r="DV33" s="64">
        <f t="shared" si="27"/>
        <v>0.82261455362156088</v>
      </c>
      <c r="DW33" s="64">
        <f t="shared" si="28"/>
        <v>0.86122769230769225</v>
      </c>
      <c r="DX33" s="64">
        <f t="shared" si="29"/>
        <v>0.90622769230769229</v>
      </c>
      <c r="DY33" s="64">
        <f t="shared" si="30"/>
        <v>0.92266999999999999</v>
      </c>
      <c r="DZ33" s="64">
        <f t="shared" si="31"/>
        <v>0.92791999999999997</v>
      </c>
      <c r="EA33" s="3">
        <f t="shared" si="64"/>
        <v>0.95</v>
      </c>
      <c r="EB33">
        <v>2043</v>
      </c>
      <c r="EC33" s="269">
        <f t="shared" si="65"/>
        <v>0.21086016859754719</v>
      </c>
      <c r="ED33" s="269">
        <f t="shared" si="66"/>
        <v>0.05</v>
      </c>
      <c r="EE33" s="64">
        <f t="shared" si="186"/>
        <v>5.1772171408695666E-2</v>
      </c>
      <c r="EF33" s="64">
        <f t="shared" si="186"/>
        <v>5.1772171408695833E-2</v>
      </c>
      <c r="EG33" s="64">
        <f t="shared" si="186"/>
        <v>5.1772171408695666E-2</v>
      </c>
      <c r="EH33" s="64">
        <f t="shared" si="186"/>
        <v>5.1772171408695611E-2</v>
      </c>
      <c r="EI33" s="64">
        <f t="shared" si="186"/>
        <v>2.5886085704347861E-2</v>
      </c>
      <c r="EJ33" s="64">
        <f t="shared" si="186"/>
        <v>2.5886085704347805E-2</v>
      </c>
      <c r="EK33" s="64">
        <f t="shared" si="186"/>
        <v>8.4839999999999971E-2</v>
      </c>
      <c r="EL33" s="64">
        <f t="shared" si="186"/>
        <v>0.18802919708029198</v>
      </c>
      <c r="EM33" s="64">
        <f t="shared" si="186"/>
        <v>8.0024330900243301E-2</v>
      </c>
      <c r="EN33" s="64">
        <f t="shared" si="186"/>
        <v>3.8613138686131365E-2</v>
      </c>
      <c r="EO33" s="64">
        <f t="shared" si="186"/>
        <v>4.500000000000004E-2</v>
      </c>
      <c r="EP33" s="64">
        <f t="shared" si="186"/>
        <v>1.6442307692307701E-2</v>
      </c>
      <c r="EQ33" s="64">
        <f t="shared" si="186"/>
        <v>5.2499999999999769E-3</v>
      </c>
      <c r="ER33" s="64">
        <f t="shared" si="186"/>
        <v>2.2079999999999989E-2</v>
      </c>
      <c r="EX33" s="89">
        <v>2043</v>
      </c>
      <c r="EY33" s="278">
        <f t="shared" si="67"/>
        <v>1.1033333333333333</v>
      </c>
      <c r="EZ33" s="278"/>
      <c r="FA33" s="278">
        <f t="shared" si="68"/>
        <v>0.2508587277825044</v>
      </c>
      <c r="FB33" s="278">
        <f t="shared" si="33"/>
        <v>0.05</v>
      </c>
      <c r="FC33" s="64">
        <f t="shared" si="69"/>
        <v>0.39640165512347836</v>
      </c>
      <c r="FD33" s="64">
        <f t="shared" si="70"/>
        <v>8.0028576358396715E-18</v>
      </c>
      <c r="FE33" s="64">
        <f t="shared" si="71"/>
        <v>0.21686034063260345</v>
      </c>
      <c r="FF33" s="64">
        <f t="shared" si="72"/>
        <v>9.2294728304947296E-2</v>
      </c>
      <c r="FG33" s="64">
        <f t="shared" si="73"/>
        <v>4.4533819951338184E-2</v>
      </c>
      <c r="FH33" s="64">
        <f t="shared" si="74"/>
        <v>5.1900000000000057E-2</v>
      </c>
      <c r="FI33" s="64">
        <f t="shared" si="75"/>
        <v>1.8963461538461551E-2</v>
      </c>
      <c r="FJ33" s="64">
        <f t="shared" si="76"/>
        <v>6.0549999999999745E-3</v>
      </c>
      <c r="FK33" s="280">
        <f t="shared" si="77"/>
        <v>2.5465599999999991E-2</v>
      </c>
      <c r="FL33" s="64"/>
      <c r="FM33" s="89">
        <v>2043</v>
      </c>
      <c r="FN33" s="278">
        <f t="shared" si="78"/>
        <v>1.1033333333333333</v>
      </c>
      <c r="FP33" s="278">
        <f t="shared" si="79"/>
        <v>0.31056929880720008</v>
      </c>
      <c r="FQ33" s="278">
        <f t="shared" si="80"/>
        <v>0.05</v>
      </c>
      <c r="FR33" s="64">
        <f t="shared" si="81"/>
        <v>0.31712132409878274</v>
      </c>
      <c r="FS33" s="64">
        <f t="shared" si="82"/>
        <v>1.9569760000000005E-2</v>
      </c>
      <c r="FT33" s="64">
        <f t="shared" si="83"/>
        <v>0.21686034063260345</v>
      </c>
      <c r="FU33" s="64">
        <f t="shared" si="84"/>
        <v>9.2294728304947296E-2</v>
      </c>
      <c r="FV33" s="64">
        <f t="shared" si="85"/>
        <v>4.4533819951338184E-2</v>
      </c>
      <c r="FW33" s="64">
        <f t="shared" si="86"/>
        <v>5.1900000000000057E-2</v>
      </c>
      <c r="FX33" s="64">
        <f t="shared" si="87"/>
        <v>1.8963461538461551E-2</v>
      </c>
      <c r="FY33" s="64">
        <f t="shared" si="88"/>
        <v>6.0549999999999745E-3</v>
      </c>
      <c r="FZ33" s="280">
        <f t="shared" si="89"/>
        <v>2.5465599999999991E-2</v>
      </c>
      <c r="GA33" s="64"/>
      <c r="GB33" s="89">
        <v>2043</v>
      </c>
      <c r="GC33" s="278">
        <f t="shared" si="90"/>
        <v>1.1033333333333333</v>
      </c>
      <c r="GE33" s="278">
        <f t="shared" si="91"/>
        <v>0.37027986983189587</v>
      </c>
      <c r="GF33" s="278">
        <f t="shared" si="92"/>
        <v>0.05</v>
      </c>
      <c r="GG33" s="64">
        <f t="shared" si="93"/>
        <v>0.23784099307408699</v>
      </c>
      <c r="GH33" s="64">
        <f t="shared" si="94"/>
        <v>3.9139519999999997E-2</v>
      </c>
      <c r="GI33" s="64">
        <f t="shared" si="95"/>
        <v>0.21686034063260345</v>
      </c>
      <c r="GJ33" s="64">
        <f t="shared" si="96"/>
        <v>9.2294728304947296E-2</v>
      </c>
      <c r="GK33" s="64">
        <f t="shared" si="97"/>
        <v>4.4533819951338184E-2</v>
      </c>
      <c r="GL33" s="64">
        <f t="shared" si="98"/>
        <v>5.1900000000000057E-2</v>
      </c>
      <c r="GM33" s="64">
        <f t="shared" si="99"/>
        <v>1.8963461538461551E-2</v>
      </c>
      <c r="GN33" s="64">
        <f t="shared" si="100"/>
        <v>6.0549999999999745E-3</v>
      </c>
      <c r="GO33" s="280">
        <f t="shared" si="101"/>
        <v>2.5465599999999991E-2</v>
      </c>
      <c r="GP33" s="64"/>
      <c r="GQ33" s="89">
        <v>2043</v>
      </c>
      <c r="GR33" s="278">
        <f t="shared" si="102"/>
        <v>1.1033333333333333</v>
      </c>
      <c r="GT33" s="278">
        <f t="shared" si="103"/>
        <v>0.42999044085659144</v>
      </c>
      <c r="GU33" s="278">
        <f t="shared" si="104"/>
        <v>0.05</v>
      </c>
      <c r="GV33" s="64">
        <f t="shared" si="105"/>
        <v>0.15856066204939137</v>
      </c>
      <c r="GW33" s="64">
        <f t="shared" si="106"/>
        <v>5.8709280000000003E-2</v>
      </c>
      <c r="GX33" s="64">
        <f t="shared" si="107"/>
        <v>0.21686034063260345</v>
      </c>
      <c r="GY33" s="64">
        <f t="shared" si="108"/>
        <v>9.2294728304947296E-2</v>
      </c>
      <c r="GZ33" s="64">
        <f t="shared" si="109"/>
        <v>4.4533819951338184E-2</v>
      </c>
      <c r="HA33" s="64">
        <f t="shared" si="110"/>
        <v>5.1900000000000057E-2</v>
      </c>
      <c r="HB33" s="64">
        <f t="shared" si="111"/>
        <v>1.8963461538461551E-2</v>
      </c>
      <c r="HC33" s="64">
        <f t="shared" si="112"/>
        <v>6.0549999999999745E-3</v>
      </c>
      <c r="HD33" s="280">
        <f t="shared" si="113"/>
        <v>2.5465599999999991E-2</v>
      </c>
      <c r="HE33" s="64"/>
      <c r="HF33" s="89">
        <v>2043</v>
      </c>
      <c r="HG33" s="278">
        <f t="shared" si="114"/>
        <v>1.1033333333333333</v>
      </c>
      <c r="HI33" s="278">
        <f t="shared" si="115"/>
        <v>0.48970101188128723</v>
      </c>
      <c r="HJ33" s="278">
        <f t="shared" si="116"/>
        <v>0.05</v>
      </c>
      <c r="HK33" s="64">
        <f t="shared" si="117"/>
        <v>7.9280331024695658E-2</v>
      </c>
      <c r="HL33" s="64">
        <f t="shared" si="118"/>
        <v>7.8279039999999994E-2</v>
      </c>
      <c r="HM33" s="64">
        <f t="shared" si="119"/>
        <v>0.21686034063260345</v>
      </c>
      <c r="HN33" s="64">
        <f t="shared" si="120"/>
        <v>9.2294728304947296E-2</v>
      </c>
      <c r="HO33" s="64">
        <f t="shared" si="121"/>
        <v>4.4533819951338184E-2</v>
      </c>
      <c r="HP33" s="64">
        <f t="shared" si="122"/>
        <v>5.1900000000000057E-2</v>
      </c>
      <c r="HQ33" s="64">
        <f t="shared" si="123"/>
        <v>1.8963461538461551E-2</v>
      </c>
      <c r="HR33" s="64">
        <f t="shared" si="124"/>
        <v>6.0549999999999745E-3</v>
      </c>
      <c r="HS33" s="280">
        <f t="shared" si="125"/>
        <v>2.5465599999999991E-2</v>
      </c>
      <c r="HT33" s="64"/>
      <c r="HU33" s="89">
        <v>2043</v>
      </c>
      <c r="HV33" s="278">
        <f t="shared" si="126"/>
        <v>1.1033333333333333</v>
      </c>
      <c r="HX33" s="278">
        <f t="shared" si="127"/>
        <v>0.51955629739363507</v>
      </c>
      <c r="HY33" s="278">
        <f t="shared" si="128"/>
        <v>0.05</v>
      </c>
      <c r="HZ33" s="64">
        <f t="shared" si="129"/>
        <v>3.9640165512347808E-2</v>
      </c>
      <c r="IA33" s="64">
        <f t="shared" si="130"/>
        <v>8.806391999999999E-2</v>
      </c>
      <c r="IB33" s="64">
        <f t="shared" si="131"/>
        <v>0.21686034063260345</v>
      </c>
      <c r="IC33" s="64">
        <f t="shared" si="132"/>
        <v>9.2294728304947296E-2</v>
      </c>
      <c r="ID33" s="64">
        <f t="shared" si="133"/>
        <v>4.4533819951338184E-2</v>
      </c>
      <c r="IE33" s="64">
        <f t="shared" si="134"/>
        <v>5.1900000000000057E-2</v>
      </c>
      <c r="IF33" s="64">
        <f t="shared" si="135"/>
        <v>1.8963461538461551E-2</v>
      </c>
      <c r="IG33" s="64">
        <f t="shared" si="136"/>
        <v>6.0549999999999745E-3</v>
      </c>
      <c r="IH33" s="280">
        <f t="shared" si="137"/>
        <v>2.5465599999999991E-2</v>
      </c>
      <c r="II33" s="64"/>
      <c r="IJ33" s="89">
        <v>2043</v>
      </c>
      <c r="IK33" s="278">
        <f t="shared" si="138"/>
        <v>1.1033333333333333</v>
      </c>
      <c r="IM33" s="278">
        <f t="shared" si="139"/>
        <v>0.54941158290598291</v>
      </c>
      <c r="IN33" s="278">
        <f t="shared" si="140"/>
        <v>0.05</v>
      </c>
      <c r="IO33" s="64">
        <v>0</v>
      </c>
      <c r="IP33" s="64">
        <f t="shared" si="141"/>
        <v>9.7848799999999986E-2</v>
      </c>
      <c r="IQ33" s="64">
        <f t="shared" si="142"/>
        <v>0.21686034063260345</v>
      </c>
      <c r="IR33" s="64">
        <f t="shared" si="143"/>
        <v>9.2294728304947296E-2</v>
      </c>
      <c r="IS33" s="64">
        <f t="shared" si="144"/>
        <v>4.4533819951338184E-2</v>
      </c>
      <c r="IT33" s="64">
        <f t="shared" si="145"/>
        <v>5.1900000000000057E-2</v>
      </c>
      <c r="IU33" s="64">
        <f t="shared" si="146"/>
        <v>1.8963461538461551E-2</v>
      </c>
      <c r="IV33" s="64">
        <f t="shared" si="147"/>
        <v>6.0549999999999745E-3</v>
      </c>
      <c r="IW33" s="280">
        <f t="shared" si="148"/>
        <v>2.5465599999999991E-2</v>
      </c>
      <c r="IX33" s="64"/>
      <c r="IY33" s="3">
        <f t="shared" si="149"/>
        <v>0.22250000000000014</v>
      </c>
      <c r="IZ33">
        <f t="shared" si="34"/>
        <v>2043</v>
      </c>
      <c r="JA33" s="3">
        <f t="shared" si="150"/>
        <v>18.254858018803418</v>
      </c>
      <c r="JB33" s="353">
        <f>HLOOKUP('1 StrategyMix for CarbonTargets'!$V$46,'Stress calculations'!JI$8:JU$39,26,FALSE)</f>
        <v>16.699926282463032</v>
      </c>
      <c r="JC33" s="3">
        <f t="shared" si="151"/>
        <v>24.639999999999997</v>
      </c>
      <c r="JD33" s="353">
        <f t="shared" si="152"/>
        <v>25.936842105263157</v>
      </c>
      <c r="JE33" s="418">
        <f t="shared" si="35"/>
        <v>0.22250000000000009</v>
      </c>
      <c r="JF33" s="368">
        <f t="shared" si="153"/>
        <v>11.957499999999996</v>
      </c>
      <c r="JG33" s="369">
        <f t="shared" si="154"/>
        <v>12.586842105263154</v>
      </c>
      <c r="JH33" s="363">
        <f t="shared" si="155"/>
        <v>15.264850909057328</v>
      </c>
      <c r="JI33" s="362">
        <f t="shared" si="36"/>
        <v>16.068264114797188</v>
      </c>
      <c r="JJ33" s="366">
        <f t="shared" si="37"/>
        <v>15.864929968339881</v>
      </c>
      <c r="JK33" s="367">
        <f t="shared" si="8"/>
        <v>16.699926282463032</v>
      </c>
      <c r="JL33" s="363">
        <f t="shared" si="38"/>
        <v>16.465009027622433</v>
      </c>
      <c r="JM33" s="362">
        <f t="shared" si="39"/>
        <v>17.331588450128876</v>
      </c>
      <c r="JN33" s="366">
        <f t="shared" si="156"/>
        <v>17.065088086904979</v>
      </c>
      <c r="JO33" s="367">
        <f t="shared" si="40"/>
        <v>17.963250617794714</v>
      </c>
      <c r="JP33" s="363">
        <f t="shared" si="157"/>
        <v>17.665167146187535</v>
      </c>
      <c r="JQ33" s="362">
        <f t="shared" si="41"/>
        <v>18.594912785460565</v>
      </c>
      <c r="JR33" s="366">
        <f t="shared" si="158"/>
        <v>17.960012582495477</v>
      </c>
      <c r="JS33" s="367">
        <f t="shared" si="42"/>
        <v>18.905276402626818</v>
      </c>
      <c r="JT33" s="363">
        <f t="shared" si="159"/>
        <v>18.254858018803418</v>
      </c>
      <c r="JU33" s="362">
        <f t="shared" si="43"/>
        <v>19.215640019793071</v>
      </c>
      <c r="JW33" t="s">
        <v>261</v>
      </c>
    </row>
    <row r="34" spans="1:283">
      <c r="A34" s="247" t="s">
        <v>291</v>
      </c>
      <c r="B34" s="247"/>
      <c r="C34" s="247"/>
      <c r="D34" s="247"/>
      <c r="E34" s="247"/>
      <c r="F34" s="247"/>
      <c r="AO34" s="89">
        <v>2044</v>
      </c>
      <c r="AP34" s="170">
        <f t="shared" si="160"/>
        <v>-2.3039999999999998E-2</v>
      </c>
      <c r="AQ34" s="170">
        <f t="shared" si="160"/>
        <v>-5.5000000000000032E-3</v>
      </c>
      <c r="AR34" s="170">
        <f t="shared" si="160"/>
        <v>-1.7307692307692305E-2</v>
      </c>
      <c r="AS34" s="170">
        <f t="shared" si="160"/>
        <v>-4.821428571428571E-2</v>
      </c>
      <c r="AU34" s="170">
        <f t="shared" si="161"/>
        <v>-4.0291970802919699E-2</v>
      </c>
      <c r="AV34" s="170">
        <f t="shared" si="162"/>
        <v>-8.3503649635036536E-2</v>
      </c>
      <c r="AW34" s="170">
        <f t="shared" si="163"/>
        <v>-0.19620437956204387</v>
      </c>
      <c r="AY34" s="170">
        <f t="shared" si="164"/>
        <v>-8.4839999999999971E-2</v>
      </c>
      <c r="AZ34" s="278">
        <f t="shared" si="165"/>
        <v>8.4839999999999968E-3</v>
      </c>
      <c r="BA34" s="284">
        <f t="shared" si="166"/>
        <v>-3.5002180591304326E-2</v>
      </c>
      <c r="BB34" s="276">
        <f t="shared" si="167"/>
        <v>-3.8794749913043457E-2</v>
      </c>
      <c r="BC34" s="277">
        <f t="shared" si="168"/>
        <v>-3.5002180591304326E-2</v>
      </c>
      <c r="BD34" s="278">
        <f t="shared" si="169"/>
        <v>8.4839999999999968E-3</v>
      </c>
      <c r="BE34" s="284">
        <f t="shared" si="170"/>
        <v>-3.5002180591304367E-2</v>
      </c>
      <c r="BF34" s="276">
        <f t="shared" si="171"/>
        <v>-3.8794749913043457E-2</v>
      </c>
      <c r="BG34" s="277">
        <f t="shared" si="9"/>
        <v>-3.5002180591304367E-2</v>
      </c>
      <c r="BH34" s="278">
        <f t="shared" si="172"/>
        <v>1.6967999999999994E-2</v>
      </c>
      <c r="BI34" s="284">
        <f t="shared" si="173"/>
        <v>-7.0004361182608721E-2</v>
      </c>
      <c r="BJ34" s="276">
        <f t="shared" si="174"/>
        <v>-7.7589499826087024E-2</v>
      </c>
      <c r="BK34" s="277">
        <f t="shared" si="10"/>
        <v>-7.0004361182608721E-2</v>
      </c>
      <c r="BL34" s="278">
        <f t="shared" si="175"/>
        <v>1.6967999999999994E-2</v>
      </c>
      <c r="BM34" s="284">
        <f t="shared" si="176"/>
        <v>-7.0004361182608679E-2</v>
      </c>
      <c r="BN34" s="276">
        <f t="shared" si="177"/>
        <v>-7.7589499826086886E-2</v>
      </c>
      <c r="BO34" s="277">
        <f t="shared" si="11"/>
        <v>-7.0004361182608679E-2</v>
      </c>
      <c r="BP34" s="278">
        <f t="shared" si="178"/>
        <v>1.6967999999999994E-2</v>
      </c>
      <c r="BQ34" s="284">
        <f t="shared" si="179"/>
        <v>-7.0004361182608735E-2</v>
      </c>
      <c r="BR34" s="276">
        <f t="shared" si="180"/>
        <v>-7.7589499826086997E-2</v>
      </c>
      <c r="BS34" s="277">
        <f t="shared" si="12"/>
        <v>-7.0004361182608735E-2</v>
      </c>
      <c r="BT34" s="278">
        <f t="shared" si="181"/>
        <v>1.6967999999999994E-2</v>
      </c>
      <c r="BU34" s="284">
        <f t="shared" si="182"/>
        <v>-7.0004361182608679E-2</v>
      </c>
      <c r="BV34" s="276">
        <f t="shared" si="183"/>
        <v>-7.7589499826086941E-2</v>
      </c>
      <c r="BW34" s="278">
        <f t="shared" si="13"/>
        <v>-7.0004361182608679E-2</v>
      </c>
      <c r="BX34" s="391">
        <f t="shared" si="44"/>
        <v>-1.6968E-2</v>
      </c>
      <c r="BY34" s="388">
        <f t="shared" si="45"/>
        <v>-0.28001744473043483</v>
      </c>
      <c r="BZ34" s="409">
        <f t="shared" si="184"/>
        <v>0.79999999999999971</v>
      </c>
      <c r="CB34" s="279">
        <f t="shared" si="185"/>
        <v>-0.49890197802197805</v>
      </c>
      <c r="CC34" s="64">
        <f t="shared" si="15"/>
        <v>-0.5254201586132824</v>
      </c>
      <c r="CD34" s="64">
        <f t="shared" si="16"/>
        <v>-0.55193833920458668</v>
      </c>
      <c r="CE34" s="64">
        <f t="shared" si="17"/>
        <v>-0.60497470038719547</v>
      </c>
      <c r="CF34" s="64">
        <f t="shared" si="18"/>
        <v>-0.65801106156980416</v>
      </c>
      <c r="CG34" s="64">
        <f t="shared" si="19"/>
        <v>-0.71104742275241295</v>
      </c>
      <c r="CH34" s="64">
        <f t="shared" si="20"/>
        <v>-0.76408378393502163</v>
      </c>
      <c r="CI34">
        <v>2044</v>
      </c>
      <c r="CJ34" s="240"/>
      <c r="CL34">
        <v>2044</v>
      </c>
      <c r="CM34" s="3">
        <f t="shared" si="46"/>
        <v>0.95</v>
      </c>
      <c r="CN34" s="64">
        <f t="shared" si="21"/>
        <v>0.92696000000000001</v>
      </c>
      <c r="CO34" s="64">
        <f t="shared" si="21"/>
        <v>0.92146000000000006</v>
      </c>
      <c r="CP34" s="64">
        <f t="shared" si="21"/>
        <v>0.9041523076923077</v>
      </c>
      <c r="CQ34" s="64">
        <f t="shared" si="21"/>
        <v>0.85593802197802193</v>
      </c>
      <c r="CR34" s="64">
        <f t="shared" si="22"/>
        <v>0.81564605117510225</v>
      </c>
      <c r="CS34" s="64">
        <f t="shared" si="22"/>
        <v>0.73214240154006571</v>
      </c>
      <c r="CT34" s="64">
        <f t="shared" si="22"/>
        <v>0.53593802197802187</v>
      </c>
      <c r="CU34" s="64">
        <f t="shared" si="23"/>
        <v>0.4510980219780219</v>
      </c>
      <c r="CV34" s="64">
        <f t="shared" si="23"/>
        <v>0.45958202197802189</v>
      </c>
      <c r="CW34" s="65">
        <f t="shared" si="47"/>
        <v>0.42457984138671756</v>
      </c>
      <c r="CX34" s="64">
        <f t="shared" si="48"/>
        <v>0.46806602197802188</v>
      </c>
      <c r="CY34" s="65">
        <f t="shared" si="49"/>
        <v>0.39806166079541316</v>
      </c>
      <c r="CZ34" s="64">
        <f t="shared" si="50"/>
        <v>0.48503402197802187</v>
      </c>
      <c r="DA34" s="65">
        <f t="shared" si="51"/>
        <v>0.34502529961280443</v>
      </c>
      <c r="DB34" s="64">
        <f t="shared" si="52"/>
        <v>0.50200202197802191</v>
      </c>
      <c r="DC34" s="65">
        <f t="shared" si="53"/>
        <v>0.2919889384301958</v>
      </c>
      <c r="DD34" s="64">
        <f t="shared" si="54"/>
        <v>0.51897002197802189</v>
      </c>
      <c r="DE34" s="65">
        <f t="shared" si="55"/>
        <v>0.23895257724758706</v>
      </c>
      <c r="DF34" s="64">
        <f t="shared" si="56"/>
        <v>0.53593802197802187</v>
      </c>
      <c r="DG34" s="65">
        <f t="shared" si="57"/>
        <v>0.18591621606497838</v>
      </c>
      <c r="DL34">
        <v>2044</v>
      </c>
      <c r="DM34" s="64">
        <f t="shared" si="58"/>
        <v>0.18591621606497838</v>
      </c>
      <c r="DN34" s="64">
        <f t="shared" si="59"/>
        <v>0.23895257724758706</v>
      </c>
      <c r="DO34" s="64">
        <f t="shared" si="60"/>
        <v>0.2919889384301958</v>
      </c>
      <c r="DP34" s="64">
        <f t="shared" si="61"/>
        <v>0.34502529961280443</v>
      </c>
      <c r="DQ34" s="64">
        <f t="shared" si="62"/>
        <v>0.39806166079541316</v>
      </c>
      <c r="DR34" s="64">
        <f t="shared" si="63"/>
        <v>0.42457984138671756</v>
      </c>
      <c r="DS34" s="64">
        <f t="shared" si="24"/>
        <v>0.4510980219780219</v>
      </c>
      <c r="DT34" s="64">
        <f t="shared" si="25"/>
        <v>0.53593802197802187</v>
      </c>
      <c r="DU34" s="64">
        <f t="shared" si="26"/>
        <v>0.73214240154006571</v>
      </c>
      <c r="DV34" s="64">
        <f t="shared" si="27"/>
        <v>0.81564605117510225</v>
      </c>
      <c r="DW34" s="64">
        <f t="shared" si="28"/>
        <v>0.85593802197802193</v>
      </c>
      <c r="DX34" s="64">
        <f t="shared" si="29"/>
        <v>0.9041523076923077</v>
      </c>
      <c r="DY34" s="64">
        <f t="shared" si="30"/>
        <v>0.92146000000000006</v>
      </c>
      <c r="DZ34" s="64">
        <f t="shared" si="31"/>
        <v>0.92696000000000001</v>
      </c>
      <c r="EA34" s="3">
        <f t="shared" si="64"/>
        <v>0.95</v>
      </c>
      <c r="EB34">
        <v>2044</v>
      </c>
      <c r="EC34" s="269">
        <f t="shared" si="65"/>
        <v>0.18591621606497843</v>
      </c>
      <c r="ED34" s="269">
        <f t="shared" si="66"/>
        <v>0.05</v>
      </c>
      <c r="EE34" s="64">
        <f t="shared" si="186"/>
        <v>5.3036361182608682E-2</v>
      </c>
      <c r="EF34" s="64">
        <f t="shared" si="186"/>
        <v>5.3036361182608738E-2</v>
      </c>
      <c r="EG34" s="64">
        <f t="shared" si="186"/>
        <v>5.3036361182608627E-2</v>
      </c>
      <c r="EH34" s="64">
        <f t="shared" si="186"/>
        <v>5.3036361182608738E-2</v>
      </c>
      <c r="EI34" s="64">
        <f t="shared" si="186"/>
        <v>2.6518180591304397E-2</v>
      </c>
      <c r="EJ34" s="64">
        <f t="shared" si="186"/>
        <v>2.6518180591304341E-2</v>
      </c>
      <c r="EK34" s="64">
        <f t="shared" si="186"/>
        <v>8.4839999999999971E-2</v>
      </c>
      <c r="EL34" s="64">
        <f t="shared" si="186"/>
        <v>0.19620437956204384</v>
      </c>
      <c r="EM34" s="64">
        <f t="shared" si="186"/>
        <v>8.3503649635036536E-2</v>
      </c>
      <c r="EN34" s="64">
        <f t="shared" si="186"/>
        <v>4.0291970802919685E-2</v>
      </c>
      <c r="EO34" s="64">
        <f t="shared" si="186"/>
        <v>4.8214285714285765E-2</v>
      </c>
      <c r="EP34" s="64">
        <f t="shared" si="186"/>
        <v>1.7307692307692357E-2</v>
      </c>
      <c r="EQ34" s="64">
        <f t="shared" si="186"/>
        <v>5.4999999999999494E-3</v>
      </c>
      <c r="ER34" s="64">
        <f t="shared" si="186"/>
        <v>2.3039999999999949E-2</v>
      </c>
      <c r="EX34" s="89">
        <v>2044</v>
      </c>
      <c r="EY34" s="278">
        <f t="shared" si="67"/>
        <v>1.1099999999999999</v>
      </c>
      <c r="EZ34" s="278"/>
      <c r="FA34" s="278">
        <f t="shared" si="68"/>
        <v>0.22366281063537496</v>
      </c>
      <c r="FB34" s="278">
        <f t="shared" si="33"/>
        <v>0.05</v>
      </c>
      <c r="FC34" s="64">
        <f t="shared" si="69"/>
        <v>0.40602529485913041</v>
      </c>
      <c r="FD34" s="64">
        <f t="shared" si="70"/>
        <v>8.0491169285323844E-18</v>
      </c>
      <c r="FE34" s="64">
        <f t="shared" si="71"/>
        <v>0.22759708029197084</v>
      </c>
      <c r="FF34" s="64">
        <f t="shared" si="72"/>
        <v>9.6864233576642381E-2</v>
      </c>
      <c r="FG34" s="64">
        <f t="shared" si="73"/>
        <v>4.6738686131386833E-2</v>
      </c>
      <c r="FH34" s="64">
        <f t="shared" si="74"/>
        <v>5.592857142857148E-2</v>
      </c>
      <c r="FI34" s="64">
        <f t="shared" si="75"/>
        <v>2.0076923076923135E-2</v>
      </c>
      <c r="FJ34" s="64">
        <f t="shared" si="76"/>
        <v>6.3799999999999404E-3</v>
      </c>
      <c r="FK34" s="280">
        <f t="shared" si="77"/>
        <v>2.6726399999999938E-2</v>
      </c>
      <c r="FL34" s="64"/>
      <c r="FM34" s="89">
        <v>2044</v>
      </c>
      <c r="FN34" s="278">
        <f t="shared" si="78"/>
        <v>1.1099999999999999</v>
      </c>
      <c r="FP34" s="278">
        <f t="shared" si="79"/>
        <v>0.28518498960720096</v>
      </c>
      <c r="FQ34" s="278">
        <f t="shared" si="80"/>
        <v>0.05</v>
      </c>
      <c r="FR34" s="64">
        <f t="shared" si="81"/>
        <v>0.32482023588730435</v>
      </c>
      <c r="FS34" s="64">
        <f t="shared" si="82"/>
        <v>1.968288E-2</v>
      </c>
      <c r="FT34" s="64">
        <f t="shared" si="83"/>
        <v>0.22759708029197084</v>
      </c>
      <c r="FU34" s="64">
        <f t="shared" si="84"/>
        <v>9.6864233576642381E-2</v>
      </c>
      <c r="FV34" s="64">
        <f t="shared" si="85"/>
        <v>4.6738686131386833E-2</v>
      </c>
      <c r="FW34" s="64">
        <f t="shared" si="86"/>
        <v>5.592857142857148E-2</v>
      </c>
      <c r="FX34" s="64">
        <f t="shared" si="87"/>
        <v>2.0076923076923135E-2</v>
      </c>
      <c r="FY34" s="64">
        <f t="shared" si="88"/>
        <v>6.3799999999999404E-3</v>
      </c>
      <c r="FZ34" s="280">
        <f t="shared" si="89"/>
        <v>2.6726399999999938E-2</v>
      </c>
      <c r="GA34" s="64"/>
      <c r="GB34" s="89">
        <v>2044</v>
      </c>
      <c r="GC34" s="278">
        <f t="shared" si="90"/>
        <v>1.1099999999999999</v>
      </c>
      <c r="GE34" s="278">
        <f t="shared" si="91"/>
        <v>0.34670716857902706</v>
      </c>
      <c r="GF34" s="278">
        <f t="shared" si="92"/>
        <v>0.05</v>
      </c>
      <c r="GG34" s="64">
        <f t="shared" si="93"/>
        <v>0.24361517691547827</v>
      </c>
      <c r="GH34" s="64">
        <f t="shared" si="94"/>
        <v>3.9365759999999993E-2</v>
      </c>
      <c r="GI34" s="64">
        <f t="shared" si="95"/>
        <v>0.22759708029197084</v>
      </c>
      <c r="GJ34" s="64">
        <f t="shared" si="96"/>
        <v>9.6864233576642381E-2</v>
      </c>
      <c r="GK34" s="64">
        <f t="shared" si="97"/>
        <v>4.6738686131386833E-2</v>
      </c>
      <c r="GL34" s="64">
        <f t="shared" si="98"/>
        <v>5.592857142857148E-2</v>
      </c>
      <c r="GM34" s="64">
        <f t="shared" si="99"/>
        <v>2.0076923076923135E-2</v>
      </c>
      <c r="GN34" s="64">
        <f t="shared" si="100"/>
        <v>6.3799999999999404E-3</v>
      </c>
      <c r="GO34" s="280">
        <f t="shared" si="101"/>
        <v>2.6726399999999938E-2</v>
      </c>
      <c r="GP34" s="64"/>
      <c r="GQ34" s="89">
        <v>2044</v>
      </c>
      <c r="GR34" s="278">
        <f t="shared" si="102"/>
        <v>1.1099999999999999</v>
      </c>
      <c r="GT34" s="278">
        <f t="shared" si="103"/>
        <v>0.40822934755085316</v>
      </c>
      <c r="GU34" s="278">
        <f t="shared" si="104"/>
        <v>0.05</v>
      </c>
      <c r="GV34" s="64">
        <f t="shared" si="105"/>
        <v>0.16241011794365218</v>
      </c>
      <c r="GW34" s="64">
        <f t="shared" si="106"/>
        <v>5.9048639999999986E-2</v>
      </c>
      <c r="GX34" s="64">
        <f t="shared" si="107"/>
        <v>0.22759708029197084</v>
      </c>
      <c r="GY34" s="64">
        <f t="shared" si="108"/>
        <v>9.6864233576642381E-2</v>
      </c>
      <c r="GZ34" s="64">
        <f t="shared" si="109"/>
        <v>4.6738686131386833E-2</v>
      </c>
      <c r="HA34" s="64">
        <f t="shared" si="110"/>
        <v>5.592857142857148E-2</v>
      </c>
      <c r="HB34" s="64">
        <f t="shared" si="111"/>
        <v>2.0076923076923135E-2</v>
      </c>
      <c r="HC34" s="64">
        <f t="shared" si="112"/>
        <v>6.3799999999999404E-3</v>
      </c>
      <c r="HD34" s="280">
        <f t="shared" si="113"/>
        <v>2.6726399999999938E-2</v>
      </c>
      <c r="HE34" s="64"/>
      <c r="HF34" s="89">
        <v>2044</v>
      </c>
      <c r="HG34" s="278">
        <f t="shared" si="114"/>
        <v>1.1099999999999999</v>
      </c>
      <c r="HI34" s="278">
        <f t="shared" si="115"/>
        <v>0.46975152652267937</v>
      </c>
      <c r="HJ34" s="278">
        <f t="shared" si="116"/>
        <v>0.05</v>
      </c>
      <c r="HK34" s="64">
        <f t="shared" si="117"/>
        <v>8.1205058971826075E-2</v>
      </c>
      <c r="HL34" s="64">
        <f t="shared" si="118"/>
        <v>7.8731519999999985E-2</v>
      </c>
      <c r="HM34" s="64">
        <f t="shared" si="119"/>
        <v>0.22759708029197084</v>
      </c>
      <c r="HN34" s="64">
        <f t="shared" si="120"/>
        <v>9.6864233576642381E-2</v>
      </c>
      <c r="HO34" s="64">
        <f t="shared" si="121"/>
        <v>4.6738686131386833E-2</v>
      </c>
      <c r="HP34" s="64">
        <f t="shared" si="122"/>
        <v>5.592857142857148E-2</v>
      </c>
      <c r="HQ34" s="64">
        <f t="shared" si="123"/>
        <v>2.0076923076923135E-2</v>
      </c>
      <c r="HR34" s="64">
        <f t="shared" si="124"/>
        <v>6.3799999999999404E-3</v>
      </c>
      <c r="HS34" s="280">
        <f t="shared" si="125"/>
        <v>2.6726399999999938E-2</v>
      </c>
      <c r="HT34" s="64"/>
      <c r="HU34" s="89">
        <v>2044</v>
      </c>
      <c r="HV34" s="278">
        <f t="shared" si="126"/>
        <v>1.1099999999999999</v>
      </c>
      <c r="HX34" s="278">
        <f t="shared" si="127"/>
        <v>0.50051261600859243</v>
      </c>
      <c r="HY34" s="278">
        <f t="shared" si="128"/>
        <v>0.05</v>
      </c>
      <c r="HZ34" s="64">
        <f t="shared" si="129"/>
        <v>4.0602529485913016E-2</v>
      </c>
      <c r="IA34" s="64">
        <f t="shared" si="130"/>
        <v>8.8572959999999964E-2</v>
      </c>
      <c r="IB34" s="64">
        <f t="shared" si="131"/>
        <v>0.22759708029197084</v>
      </c>
      <c r="IC34" s="64">
        <f t="shared" si="132"/>
        <v>9.6864233576642381E-2</v>
      </c>
      <c r="ID34" s="64">
        <f t="shared" si="133"/>
        <v>4.6738686131386833E-2</v>
      </c>
      <c r="IE34" s="64">
        <f t="shared" si="134"/>
        <v>5.592857142857148E-2</v>
      </c>
      <c r="IF34" s="64">
        <f t="shared" si="135"/>
        <v>2.0076923076923135E-2</v>
      </c>
      <c r="IG34" s="64">
        <f t="shared" si="136"/>
        <v>6.3799999999999404E-3</v>
      </c>
      <c r="IH34" s="280">
        <f t="shared" si="137"/>
        <v>2.6726399999999938E-2</v>
      </c>
      <c r="II34" s="64"/>
      <c r="IJ34" s="89">
        <v>2044</v>
      </c>
      <c r="IK34" s="278">
        <f t="shared" si="138"/>
        <v>1.1099999999999999</v>
      </c>
      <c r="IM34" s="278">
        <f t="shared" si="139"/>
        <v>0.53127370549450548</v>
      </c>
      <c r="IN34" s="278">
        <f t="shared" si="140"/>
        <v>0.05</v>
      </c>
      <c r="IO34" s="64">
        <v>0</v>
      </c>
      <c r="IP34" s="64">
        <f t="shared" si="141"/>
        <v>9.8414399999999957E-2</v>
      </c>
      <c r="IQ34" s="64">
        <f t="shared" si="142"/>
        <v>0.22759708029197084</v>
      </c>
      <c r="IR34" s="64">
        <f t="shared" si="143"/>
        <v>9.6864233576642381E-2</v>
      </c>
      <c r="IS34" s="64">
        <f t="shared" si="144"/>
        <v>4.6738686131386833E-2</v>
      </c>
      <c r="IT34" s="64">
        <f t="shared" si="145"/>
        <v>5.592857142857148E-2</v>
      </c>
      <c r="IU34" s="64">
        <f t="shared" si="146"/>
        <v>2.0076923076923135E-2</v>
      </c>
      <c r="IV34" s="64">
        <f t="shared" si="147"/>
        <v>6.3799999999999404E-3</v>
      </c>
      <c r="IW34" s="280">
        <f t="shared" si="148"/>
        <v>2.6726399999999938E-2</v>
      </c>
      <c r="IX34" s="64"/>
      <c r="IY34" s="3">
        <f t="shared" si="149"/>
        <v>0.20500000000000007</v>
      </c>
      <c r="IZ34">
        <f t="shared" si="34"/>
        <v>2044</v>
      </c>
      <c r="JA34" s="3">
        <f t="shared" si="150"/>
        <v>18.786131724297924</v>
      </c>
      <c r="JB34" s="353">
        <f>HLOOKUP('1 StrategyMix for CarbonTargets'!$V$46,'Stress calculations'!JI$8:JU$39,27,FALSE)</f>
        <v>17.000121008365351</v>
      </c>
      <c r="JC34" s="3">
        <f t="shared" si="151"/>
        <v>25.749999999999996</v>
      </c>
      <c r="JD34" s="353">
        <f t="shared" si="152"/>
        <v>27.105263157894733</v>
      </c>
      <c r="JE34" s="418">
        <f t="shared" si="35"/>
        <v>0.2050000000000001</v>
      </c>
      <c r="JF34" s="368">
        <f t="shared" si="153"/>
        <v>12.162499999999996</v>
      </c>
      <c r="JG34" s="369">
        <f t="shared" si="154"/>
        <v>12.802631578947365</v>
      </c>
      <c r="JH34" s="363">
        <f t="shared" si="155"/>
        <v>15.488513719692703</v>
      </c>
      <c r="JI34" s="362">
        <f t="shared" si="36"/>
        <v>16.30369865230811</v>
      </c>
      <c r="JJ34" s="366">
        <f t="shared" si="37"/>
        <v>16.150114957947082</v>
      </c>
      <c r="JK34" s="367">
        <f t="shared" si="8"/>
        <v>17.000121008365351</v>
      </c>
      <c r="JL34" s="363">
        <f t="shared" si="38"/>
        <v>16.811716196201459</v>
      </c>
      <c r="JM34" s="362">
        <f t="shared" si="39"/>
        <v>17.696543364422588</v>
      </c>
      <c r="JN34" s="366">
        <f t="shared" si="156"/>
        <v>17.473317434455833</v>
      </c>
      <c r="JO34" s="367">
        <f t="shared" si="40"/>
        <v>18.392965720479825</v>
      </c>
      <c r="JP34" s="363">
        <f t="shared" si="157"/>
        <v>18.134918672710214</v>
      </c>
      <c r="JQ34" s="362">
        <f t="shared" si="41"/>
        <v>19.08938807653707</v>
      </c>
      <c r="JR34" s="366">
        <f t="shared" si="158"/>
        <v>18.460525198504069</v>
      </c>
      <c r="JS34" s="367">
        <f t="shared" si="42"/>
        <v>19.432131787899021</v>
      </c>
      <c r="JT34" s="363">
        <f t="shared" si="159"/>
        <v>18.786131724297924</v>
      </c>
      <c r="JU34" s="362">
        <f t="shared" si="43"/>
        <v>19.774875499260972</v>
      </c>
    </row>
    <row r="35" spans="1:283" ht="29" customHeight="1">
      <c r="A35" s="262">
        <f>'1 StrategyMix for CarbonTargets'!V46</f>
        <v>0.8</v>
      </c>
      <c r="B35" s="247"/>
      <c r="C35" s="247"/>
      <c r="D35" s="247"/>
      <c r="E35" s="247"/>
      <c r="F35" s="247"/>
      <c r="G35" s="710" t="s">
        <v>177</v>
      </c>
      <c r="H35" s="710"/>
      <c r="I35" s="710"/>
      <c r="J35" s="710"/>
      <c r="K35" s="9"/>
      <c r="M35" s="710" t="s">
        <v>178</v>
      </c>
      <c r="N35" s="710"/>
      <c r="O35" s="710"/>
      <c r="P35" s="710"/>
      <c r="Q35" s="710"/>
      <c r="AO35" s="89">
        <v>2045</v>
      </c>
      <c r="AP35" s="170">
        <f t="shared" si="160"/>
        <v>-2.3999999999999997E-2</v>
      </c>
      <c r="AQ35" s="170">
        <f t="shared" si="160"/>
        <v>-5.7500000000000034E-3</v>
      </c>
      <c r="AR35" s="170">
        <f t="shared" si="160"/>
        <v>-1.817307692307692E-2</v>
      </c>
      <c r="AS35" s="170">
        <f t="shared" si="160"/>
        <v>-5.1428571428571421E-2</v>
      </c>
      <c r="AU35" s="170">
        <f t="shared" si="161"/>
        <v>-4.197080291970802E-2</v>
      </c>
      <c r="AV35" s="170">
        <f t="shared" si="162"/>
        <v>-8.698296836982973E-2</v>
      </c>
      <c r="AW35" s="170">
        <f t="shared" si="163"/>
        <v>-0.2043795620437957</v>
      </c>
      <c r="AY35" s="170">
        <f t="shared" si="164"/>
        <v>-8.4839999999999971E-2</v>
      </c>
      <c r="AZ35" s="278">
        <f t="shared" si="165"/>
        <v>8.4839999999999968E-3</v>
      </c>
      <c r="BA35" s="284">
        <f t="shared" si="166"/>
        <v>-3.5634275478260848E-2</v>
      </c>
      <c r="BB35" s="276">
        <f t="shared" si="167"/>
        <v>-3.8794749913043457E-2</v>
      </c>
      <c r="BC35" s="277">
        <f t="shared" si="168"/>
        <v>-3.5634275478260848E-2</v>
      </c>
      <c r="BD35" s="278">
        <f t="shared" si="169"/>
        <v>8.4839999999999968E-3</v>
      </c>
      <c r="BE35" s="284">
        <f t="shared" si="170"/>
        <v>-3.5634275478260889E-2</v>
      </c>
      <c r="BF35" s="276">
        <f t="shared" si="171"/>
        <v>-3.8794749913043457E-2</v>
      </c>
      <c r="BG35" s="277">
        <f t="shared" si="9"/>
        <v>-3.5634275478260889E-2</v>
      </c>
      <c r="BH35" s="278">
        <f t="shared" si="172"/>
        <v>1.6967999999999994E-2</v>
      </c>
      <c r="BI35" s="284">
        <f t="shared" si="173"/>
        <v>-7.1268550956521765E-2</v>
      </c>
      <c r="BJ35" s="276">
        <f t="shared" si="174"/>
        <v>-7.7589499826087024E-2</v>
      </c>
      <c r="BK35" s="277">
        <f t="shared" si="10"/>
        <v>-7.1268550956521765E-2</v>
      </c>
      <c r="BL35" s="278">
        <f t="shared" si="175"/>
        <v>1.6967999999999994E-2</v>
      </c>
      <c r="BM35" s="284">
        <f t="shared" si="176"/>
        <v>-7.1268550956521723E-2</v>
      </c>
      <c r="BN35" s="276">
        <f t="shared" si="177"/>
        <v>-7.7589499826086886E-2</v>
      </c>
      <c r="BO35" s="277">
        <f t="shared" si="11"/>
        <v>-7.1268550956521723E-2</v>
      </c>
      <c r="BP35" s="278">
        <f t="shared" si="178"/>
        <v>1.6967999999999994E-2</v>
      </c>
      <c r="BQ35" s="284">
        <f t="shared" si="179"/>
        <v>-7.1268550956521778E-2</v>
      </c>
      <c r="BR35" s="276">
        <f t="shared" si="180"/>
        <v>-7.7589499826086997E-2</v>
      </c>
      <c r="BS35" s="277">
        <f t="shared" si="12"/>
        <v>-7.1268550956521778E-2</v>
      </c>
      <c r="BT35" s="278">
        <f t="shared" si="181"/>
        <v>1.6967999999999994E-2</v>
      </c>
      <c r="BU35" s="284">
        <f t="shared" si="182"/>
        <v>-7.1268550956521723E-2</v>
      </c>
      <c r="BV35" s="276">
        <f t="shared" si="183"/>
        <v>-7.7589499826086941E-2</v>
      </c>
      <c r="BW35" s="278">
        <f t="shared" si="13"/>
        <v>-7.1268550956521723E-2</v>
      </c>
      <c r="BX35" s="391">
        <f t="shared" si="44"/>
        <v>-1.6968E-2</v>
      </c>
      <c r="BY35" s="388">
        <f t="shared" si="45"/>
        <v>-0.285074203826087</v>
      </c>
      <c r="BZ35" s="409">
        <f t="shared" si="184"/>
        <v>0.79999999999999971</v>
      </c>
      <c r="CB35" s="279">
        <f t="shared" si="185"/>
        <v>-0.51752498168498173</v>
      </c>
      <c r="CC35" s="64">
        <f t="shared" si="15"/>
        <v>-0.5446752571632425</v>
      </c>
      <c r="CD35" s="64">
        <f t="shared" si="16"/>
        <v>-0.57182553264150338</v>
      </c>
      <c r="CE35" s="64">
        <f t="shared" si="17"/>
        <v>-0.62612608359802513</v>
      </c>
      <c r="CF35" s="64">
        <f t="shared" si="18"/>
        <v>-0.68042663455454688</v>
      </c>
      <c r="CG35" s="64">
        <f t="shared" si="19"/>
        <v>-0.73472718551106864</v>
      </c>
      <c r="CH35" s="64">
        <f t="shared" si="20"/>
        <v>-0.78902773646759039</v>
      </c>
      <c r="CI35">
        <v>2045</v>
      </c>
      <c r="CJ35" s="240"/>
      <c r="CL35">
        <v>2045</v>
      </c>
      <c r="CM35" s="3">
        <f t="shared" si="46"/>
        <v>0.95</v>
      </c>
      <c r="CN35" s="64">
        <f t="shared" si="21"/>
        <v>0.92599999999999993</v>
      </c>
      <c r="CO35" s="64">
        <f t="shared" si="21"/>
        <v>0.9202499999999999</v>
      </c>
      <c r="CP35" s="64">
        <f t="shared" si="21"/>
        <v>0.902076923076923</v>
      </c>
      <c r="CQ35" s="64">
        <f t="shared" si="21"/>
        <v>0.85064835164835162</v>
      </c>
      <c r="CR35" s="64">
        <f t="shared" si="22"/>
        <v>0.80867754872864361</v>
      </c>
      <c r="CS35" s="64">
        <f t="shared" si="22"/>
        <v>0.72169458035881384</v>
      </c>
      <c r="CT35" s="64">
        <f t="shared" si="22"/>
        <v>0.51731501831501814</v>
      </c>
      <c r="CU35" s="64">
        <f t="shared" si="23"/>
        <v>0.43247501831501817</v>
      </c>
      <c r="CV35" s="64">
        <f t="shared" si="23"/>
        <v>0.44095901831501816</v>
      </c>
      <c r="CW35" s="65">
        <f t="shared" si="47"/>
        <v>0.40532474283675729</v>
      </c>
      <c r="CX35" s="64">
        <f t="shared" si="48"/>
        <v>0.44944301831501815</v>
      </c>
      <c r="CY35" s="65">
        <f t="shared" si="49"/>
        <v>0.37817446735849641</v>
      </c>
      <c r="CZ35" s="64">
        <f t="shared" si="50"/>
        <v>0.46641101831501813</v>
      </c>
      <c r="DA35" s="65">
        <f t="shared" si="51"/>
        <v>0.3238739164019746</v>
      </c>
      <c r="DB35" s="64">
        <f t="shared" si="52"/>
        <v>0.48337901831501812</v>
      </c>
      <c r="DC35" s="65">
        <f t="shared" si="53"/>
        <v>0.26957336544545285</v>
      </c>
      <c r="DD35" s="64">
        <f t="shared" si="54"/>
        <v>0.50034701831501815</v>
      </c>
      <c r="DE35" s="65">
        <f t="shared" si="55"/>
        <v>0.21527281448893115</v>
      </c>
      <c r="DF35" s="64">
        <f t="shared" si="56"/>
        <v>0.51731501831501814</v>
      </c>
      <c r="DG35" s="65">
        <f t="shared" si="57"/>
        <v>0.1609722635324094</v>
      </c>
      <c r="DL35">
        <v>2045</v>
      </c>
      <c r="DM35" s="64">
        <f t="shared" si="58"/>
        <v>0.1609722635324094</v>
      </c>
      <c r="DN35" s="64">
        <f t="shared" si="59"/>
        <v>0.21527281448893115</v>
      </c>
      <c r="DO35" s="64">
        <f t="shared" si="60"/>
        <v>0.26957336544545285</v>
      </c>
      <c r="DP35" s="64">
        <f t="shared" si="61"/>
        <v>0.3238739164019746</v>
      </c>
      <c r="DQ35" s="64">
        <f t="shared" si="62"/>
        <v>0.37817446735849641</v>
      </c>
      <c r="DR35" s="64">
        <f t="shared" si="63"/>
        <v>0.40532474283675729</v>
      </c>
      <c r="DS35" s="64">
        <f t="shared" si="24"/>
        <v>0.43247501831501817</v>
      </c>
      <c r="DT35" s="64">
        <f t="shared" si="25"/>
        <v>0.51731501831501814</v>
      </c>
      <c r="DU35" s="64">
        <f t="shared" si="26"/>
        <v>0.72169458035881384</v>
      </c>
      <c r="DV35" s="64">
        <f t="shared" si="27"/>
        <v>0.80867754872864361</v>
      </c>
      <c r="DW35" s="64">
        <f t="shared" si="28"/>
        <v>0.85064835164835162</v>
      </c>
      <c r="DX35" s="64">
        <f t="shared" si="29"/>
        <v>0.902076923076923</v>
      </c>
      <c r="DY35" s="64">
        <f t="shared" si="30"/>
        <v>0.9202499999999999</v>
      </c>
      <c r="DZ35" s="64">
        <f t="shared" si="31"/>
        <v>0.92599999999999993</v>
      </c>
      <c r="EA35" s="3">
        <f t="shared" si="64"/>
        <v>0.95</v>
      </c>
      <c r="EB35">
        <v>2045</v>
      </c>
      <c r="EC35" s="269">
        <f t="shared" si="65"/>
        <v>0.16097226353240945</v>
      </c>
      <c r="ED35" s="269">
        <f t="shared" si="66"/>
        <v>0.05</v>
      </c>
      <c r="EE35" s="64">
        <f t="shared" si="186"/>
        <v>5.4300550956521754E-2</v>
      </c>
      <c r="EF35" s="64">
        <f t="shared" si="186"/>
        <v>5.4300550956521698E-2</v>
      </c>
      <c r="EG35" s="64">
        <f t="shared" si="186"/>
        <v>5.4300550956521754E-2</v>
      </c>
      <c r="EH35" s="64">
        <f t="shared" si="186"/>
        <v>5.4300550956521809E-2</v>
      </c>
      <c r="EI35" s="64">
        <f t="shared" si="186"/>
        <v>2.7150275478260877E-2</v>
      </c>
      <c r="EJ35" s="64">
        <f t="shared" si="186"/>
        <v>2.7150275478260877E-2</v>
      </c>
      <c r="EK35" s="64">
        <f t="shared" si="186"/>
        <v>8.4839999999999971E-2</v>
      </c>
      <c r="EL35" s="64">
        <f t="shared" si="186"/>
        <v>0.2043795620437957</v>
      </c>
      <c r="EM35" s="64">
        <f t="shared" si="186"/>
        <v>8.6982968369829772E-2</v>
      </c>
      <c r="EN35" s="64">
        <f t="shared" si="186"/>
        <v>4.1970802919708006E-2</v>
      </c>
      <c r="EO35" s="64">
        <f t="shared" si="186"/>
        <v>5.1428571428571379E-2</v>
      </c>
      <c r="EP35" s="64">
        <f t="shared" si="186"/>
        <v>1.8173076923076903E-2</v>
      </c>
      <c r="EQ35" s="64">
        <f t="shared" si="186"/>
        <v>5.7500000000000329E-3</v>
      </c>
      <c r="ER35" s="64">
        <f t="shared" si="186"/>
        <v>2.4000000000000021E-2</v>
      </c>
      <c r="EX35" s="89">
        <v>2045</v>
      </c>
      <c r="EY35" s="278">
        <f t="shared" si="67"/>
        <v>1.1166666666666667</v>
      </c>
      <c r="EZ35" s="278"/>
      <c r="FA35" s="278">
        <f t="shared" si="68"/>
        <v>0.19613430745447769</v>
      </c>
      <c r="FB35" s="278">
        <f t="shared" si="33"/>
        <v>0.05</v>
      </c>
      <c r="FC35" s="64">
        <f t="shared" si="69"/>
        <v>0.41573321391304358</v>
      </c>
      <c r="FD35" s="64">
        <f t="shared" si="70"/>
        <v>8.0953762212251003E-18</v>
      </c>
      <c r="FE35" s="64">
        <f t="shared" si="71"/>
        <v>0.23844282238442835</v>
      </c>
      <c r="FF35" s="64">
        <f t="shared" si="72"/>
        <v>0.10148012976480141</v>
      </c>
      <c r="FG35" s="64">
        <f t="shared" si="73"/>
        <v>4.8965936739659342E-2</v>
      </c>
      <c r="FH35" s="64">
        <f t="shared" si="74"/>
        <v>5.9999999999999949E-2</v>
      </c>
      <c r="FI35" s="64">
        <f t="shared" si="75"/>
        <v>2.1201923076923056E-2</v>
      </c>
      <c r="FJ35" s="64">
        <f t="shared" si="76"/>
        <v>6.7083333333333717E-3</v>
      </c>
      <c r="FK35" s="280">
        <f t="shared" si="77"/>
        <v>2.8000000000000028E-2</v>
      </c>
      <c r="FL35" s="64"/>
      <c r="FM35" s="89">
        <v>2045</v>
      </c>
      <c r="FN35" s="278">
        <f t="shared" si="78"/>
        <v>1.1166666666666667</v>
      </c>
      <c r="FP35" s="278">
        <f t="shared" si="79"/>
        <v>0.2594849502370864</v>
      </c>
      <c r="FQ35" s="278">
        <f t="shared" si="80"/>
        <v>0.05</v>
      </c>
      <c r="FR35" s="64">
        <f t="shared" si="81"/>
        <v>0.33258657113043488</v>
      </c>
      <c r="FS35" s="64">
        <f t="shared" si="82"/>
        <v>1.9796000000000001E-2</v>
      </c>
      <c r="FT35" s="64">
        <f t="shared" si="83"/>
        <v>0.23844282238442835</v>
      </c>
      <c r="FU35" s="64">
        <f t="shared" si="84"/>
        <v>0.10148012976480141</v>
      </c>
      <c r="FV35" s="64">
        <f t="shared" si="85"/>
        <v>4.8965936739659342E-2</v>
      </c>
      <c r="FW35" s="64">
        <f t="shared" si="86"/>
        <v>5.9999999999999949E-2</v>
      </c>
      <c r="FX35" s="64">
        <f t="shared" si="87"/>
        <v>2.1201923076923056E-2</v>
      </c>
      <c r="FY35" s="64">
        <f t="shared" si="88"/>
        <v>6.7083333333333717E-3</v>
      </c>
      <c r="FZ35" s="280">
        <f t="shared" si="89"/>
        <v>2.8000000000000028E-2</v>
      </c>
      <c r="GA35" s="64"/>
      <c r="GB35" s="89">
        <v>2045</v>
      </c>
      <c r="GC35" s="278">
        <f t="shared" si="90"/>
        <v>1.1166666666666667</v>
      </c>
      <c r="GE35" s="278">
        <f t="shared" si="91"/>
        <v>0.32283559301969511</v>
      </c>
      <c r="GF35" s="278">
        <f t="shared" si="92"/>
        <v>0.05</v>
      </c>
      <c r="GG35" s="64">
        <f t="shared" si="93"/>
        <v>0.24943992834782611</v>
      </c>
      <c r="GH35" s="64">
        <f t="shared" si="94"/>
        <v>3.9591999999999995E-2</v>
      </c>
      <c r="GI35" s="64">
        <f t="shared" si="95"/>
        <v>0.23844282238442835</v>
      </c>
      <c r="GJ35" s="64">
        <f t="shared" si="96"/>
        <v>0.10148012976480141</v>
      </c>
      <c r="GK35" s="64">
        <f t="shared" si="97"/>
        <v>4.8965936739659342E-2</v>
      </c>
      <c r="GL35" s="64">
        <f t="shared" si="98"/>
        <v>5.9999999999999949E-2</v>
      </c>
      <c r="GM35" s="64">
        <f t="shared" si="99"/>
        <v>2.1201923076923056E-2</v>
      </c>
      <c r="GN35" s="64">
        <f t="shared" si="100"/>
        <v>6.7083333333333717E-3</v>
      </c>
      <c r="GO35" s="280">
        <f t="shared" si="101"/>
        <v>2.8000000000000028E-2</v>
      </c>
      <c r="GP35" s="64"/>
      <c r="GQ35" s="89">
        <v>2045</v>
      </c>
      <c r="GR35" s="278">
        <f t="shared" si="102"/>
        <v>1.1166666666666667</v>
      </c>
      <c r="GT35" s="278">
        <f t="shared" si="103"/>
        <v>0.38618623580230382</v>
      </c>
      <c r="GU35" s="278">
        <f t="shared" si="104"/>
        <v>0.05</v>
      </c>
      <c r="GV35" s="64">
        <f t="shared" si="105"/>
        <v>0.16629328556521744</v>
      </c>
      <c r="GW35" s="64">
        <f t="shared" si="106"/>
        <v>5.9387999999999996E-2</v>
      </c>
      <c r="GX35" s="64">
        <f t="shared" si="107"/>
        <v>0.23844282238442835</v>
      </c>
      <c r="GY35" s="64">
        <f t="shared" si="108"/>
        <v>0.10148012976480141</v>
      </c>
      <c r="GZ35" s="64">
        <f t="shared" si="109"/>
        <v>4.8965936739659342E-2</v>
      </c>
      <c r="HA35" s="64">
        <f t="shared" si="110"/>
        <v>5.9999999999999949E-2</v>
      </c>
      <c r="HB35" s="64">
        <f t="shared" si="111"/>
        <v>2.1201923076923056E-2</v>
      </c>
      <c r="HC35" s="64">
        <f t="shared" si="112"/>
        <v>6.7083333333333717E-3</v>
      </c>
      <c r="HD35" s="280">
        <f t="shared" si="113"/>
        <v>2.8000000000000028E-2</v>
      </c>
      <c r="HE35" s="64"/>
      <c r="HF35" s="89">
        <v>2045</v>
      </c>
      <c r="HG35" s="278">
        <f t="shared" si="114"/>
        <v>1.1166666666666667</v>
      </c>
      <c r="HI35" s="278">
        <f t="shared" si="115"/>
        <v>0.44953687858491254</v>
      </c>
      <c r="HJ35" s="278">
        <f t="shared" si="116"/>
        <v>0.05</v>
      </c>
      <c r="HK35" s="64">
        <f t="shared" si="117"/>
        <v>8.3146642782608693E-2</v>
      </c>
      <c r="HL35" s="64">
        <f t="shared" si="118"/>
        <v>7.9183999999999991E-2</v>
      </c>
      <c r="HM35" s="64">
        <f t="shared" si="119"/>
        <v>0.23844282238442835</v>
      </c>
      <c r="HN35" s="64">
        <f t="shared" si="120"/>
        <v>0.10148012976480141</v>
      </c>
      <c r="HO35" s="64">
        <f t="shared" si="121"/>
        <v>4.8965936739659342E-2</v>
      </c>
      <c r="HP35" s="64">
        <f t="shared" si="122"/>
        <v>5.9999999999999949E-2</v>
      </c>
      <c r="HQ35" s="64">
        <f t="shared" si="123"/>
        <v>2.1201923076923056E-2</v>
      </c>
      <c r="HR35" s="64">
        <f t="shared" si="124"/>
        <v>6.7083333333333717E-3</v>
      </c>
      <c r="HS35" s="280">
        <f t="shared" si="125"/>
        <v>2.8000000000000028E-2</v>
      </c>
      <c r="HT35" s="64"/>
      <c r="HU35" s="89">
        <v>2045</v>
      </c>
      <c r="HV35" s="278">
        <f t="shared" si="126"/>
        <v>1.1166666666666667</v>
      </c>
      <c r="HX35" s="278">
        <f t="shared" si="127"/>
        <v>0.48121219997621689</v>
      </c>
      <c r="HY35" s="278">
        <f t="shared" si="128"/>
        <v>0.05</v>
      </c>
      <c r="HZ35" s="64">
        <f t="shared" si="129"/>
        <v>4.1573321391304326E-2</v>
      </c>
      <c r="IA35" s="64">
        <f t="shared" si="130"/>
        <v>8.9081999999999981E-2</v>
      </c>
      <c r="IB35" s="64">
        <f t="shared" si="131"/>
        <v>0.23844282238442835</v>
      </c>
      <c r="IC35" s="64">
        <f t="shared" si="132"/>
        <v>0.10148012976480141</v>
      </c>
      <c r="ID35" s="64">
        <f t="shared" si="133"/>
        <v>4.8965936739659342E-2</v>
      </c>
      <c r="IE35" s="64">
        <f t="shared" si="134"/>
        <v>5.9999999999999949E-2</v>
      </c>
      <c r="IF35" s="64">
        <f t="shared" si="135"/>
        <v>2.1201923076923056E-2</v>
      </c>
      <c r="IG35" s="64">
        <f t="shared" si="136"/>
        <v>6.7083333333333717E-3</v>
      </c>
      <c r="IH35" s="280">
        <f t="shared" si="137"/>
        <v>2.8000000000000028E-2</v>
      </c>
      <c r="II35" s="64"/>
      <c r="IJ35" s="89">
        <v>2045</v>
      </c>
      <c r="IK35" s="278">
        <f t="shared" si="138"/>
        <v>1.1166666666666667</v>
      </c>
      <c r="IM35" s="278">
        <f t="shared" si="139"/>
        <v>0.51288752136752125</v>
      </c>
      <c r="IN35" s="278">
        <f t="shared" si="140"/>
        <v>0.05</v>
      </c>
      <c r="IO35" s="64">
        <v>0</v>
      </c>
      <c r="IP35" s="64">
        <f t="shared" si="141"/>
        <v>9.8979999999999971E-2</v>
      </c>
      <c r="IQ35" s="64">
        <f t="shared" si="142"/>
        <v>0.23844282238442835</v>
      </c>
      <c r="IR35" s="64">
        <f t="shared" si="143"/>
        <v>0.10148012976480141</v>
      </c>
      <c r="IS35" s="64">
        <f t="shared" si="144"/>
        <v>4.8965936739659342E-2</v>
      </c>
      <c r="IT35" s="64">
        <f t="shared" si="145"/>
        <v>5.9999999999999949E-2</v>
      </c>
      <c r="IU35" s="64">
        <f t="shared" si="146"/>
        <v>2.1201923076923056E-2</v>
      </c>
      <c r="IV35" s="64">
        <f t="shared" si="147"/>
        <v>6.7083333333333717E-3</v>
      </c>
      <c r="IW35" s="280">
        <f t="shared" si="148"/>
        <v>2.8000000000000028E-2</v>
      </c>
      <c r="IX35" s="64"/>
      <c r="IY35" s="3">
        <f t="shared" si="149"/>
        <v>0.1875</v>
      </c>
      <c r="IZ35">
        <f t="shared" si="34"/>
        <v>2045</v>
      </c>
      <c r="JA35" s="3">
        <f t="shared" si="150"/>
        <v>19.299019245665445</v>
      </c>
      <c r="JB35" s="353">
        <f>HLOOKUP('1 StrategyMix for CarbonTargets'!$V$46,'Stress calculations'!JI$8:JU$39,28,FALSE)</f>
        <v>17.273263061246496</v>
      </c>
      <c r="JC35" s="3">
        <f t="shared" si="151"/>
        <v>26.866666666666664</v>
      </c>
      <c r="JD35" s="353">
        <f t="shared" si="152"/>
        <v>28.280701754385962</v>
      </c>
      <c r="JE35" s="418">
        <f t="shared" si="35"/>
        <v>0.18750000000000011</v>
      </c>
      <c r="JF35" s="368">
        <f t="shared" si="153"/>
        <v>12.349999999999996</v>
      </c>
      <c r="JG35" s="369">
        <f t="shared" si="154"/>
        <v>12.999999999999996</v>
      </c>
      <c r="JH35" s="363">
        <f t="shared" si="155"/>
        <v>15.68464802714718</v>
      </c>
      <c r="JI35" s="362">
        <f t="shared" si="36"/>
        <v>16.510155818049665</v>
      </c>
      <c r="JJ35" s="366">
        <f t="shared" si="37"/>
        <v>16.40959990818417</v>
      </c>
      <c r="JK35" s="367">
        <f t="shared" si="8"/>
        <v>17.273263061246496</v>
      </c>
      <c r="JL35" s="363">
        <f t="shared" si="38"/>
        <v>17.134551789221156</v>
      </c>
      <c r="JM35" s="362">
        <f t="shared" si="39"/>
        <v>18.036370304443324</v>
      </c>
      <c r="JN35" s="366">
        <f t="shared" si="156"/>
        <v>17.859503670258135</v>
      </c>
      <c r="JO35" s="367">
        <f t="shared" si="40"/>
        <v>18.799477547640144</v>
      </c>
      <c r="JP35" s="363">
        <f t="shared" si="157"/>
        <v>18.584455551295125</v>
      </c>
      <c r="JQ35" s="362">
        <f t="shared" si="41"/>
        <v>19.562584790836976</v>
      </c>
      <c r="JR35" s="366">
        <f t="shared" si="158"/>
        <v>18.941737398480285</v>
      </c>
      <c r="JS35" s="367">
        <f t="shared" si="42"/>
        <v>19.93867094576872</v>
      </c>
      <c r="JT35" s="363">
        <f t="shared" si="159"/>
        <v>19.299019245665445</v>
      </c>
      <c r="JU35" s="362">
        <f t="shared" si="43"/>
        <v>20.314757100700469</v>
      </c>
    </row>
    <row r="36" spans="1:283" ht="26.5">
      <c r="A36" s="247" t="s">
        <v>111</v>
      </c>
      <c r="B36" s="247"/>
      <c r="C36" s="247"/>
      <c r="D36" s="247"/>
      <c r="E36" s="247"/>
      <c r="F36" s="261"/>
      <c r="G36" s="234" t="s">
        <v>116</v>
      </c>
      <c r="H36" s="711" t="s">
        <v>149</v>
      </c>
      <c r="I36" s="712"/>
      <c r="J36" s="712"/>
      <c r="K36" s="289"/>
      <c r="M36" s="234" t="s">
        <v>116</v>
      </c>
      <c r="N36" s="234"/>
      <c r="O36" s="711" t="s">
        <v>149</v>
      </c>
      <c r="P36" s="712"/>
      <c r="Q36" s="712"/>
      <c r="AO36" s="89">
        <v>2046</v>
      </c>
      <c r="AP36" s="170">
        <f t="shared" si="160"/>
        <v>-2.4959999999999996E-2</v>
      </c>
      <c r="AQ36" s="170">
        <f t="shared" si="160"/>
        <v>-6.0000000000000036E-3</v>
      </c>
      <c r="AR36" s="170">
        <f t="shared" si="160"/>
        <v>-1.9038461538461535E-2</v>
      </c>
      <c r="AS36" s="170">
        <f t="shared" si="160"/>
        <v>-5.4642857142857132E-2</v>
      </c>
      <c r="AU36" s="170">
        <f t="shared" si="161"/>
        <v>-4.364963503649634E-2</v>
      </c>
      <c r="AV36" s="170">
        <f t="shared" si="162"/>
        <v>-9.0462287104622924E-2</v>
      </c>
      <c r="AW36" s="170">
        <f t="shared" si="163"/>
        <v>-0.21255474452554754</v>
      </c>
      <c r="AY36" s="170">
        <f t="shared" si="164"/>
        <v>-8.4839999999999971E-2</v>
      </c>
      <c r="AZ36" s="278">
        <f t="shared" si="165"/>
        <v>8.4839999999999968E-3</v>
      </c>
      <c r="BA36" s="284">
        <f t="shared" si="166"/>
        <v>-3.6266370365217369E-2</v>
      </c>
      <c r="BB36" s="276">
        <f t="shared" si="167"/>
        <v>-3.8794749913043457E-2</v>
      </c>
      <c r="BC36" s="277">
        <f t="shared" si="168"/>
        <v>-3.6266370365217369E-2</v>
      </c>
      <c r="BD36" s="278">
        <f t="shared" si="169"/>
        <v>8.4839999999999968E-3</v>
      </c>
      <c r="BE36" s="284">
        <f t="shared" si="170"/>
        <v>-3.6266370365217411E-2</v>
      </c>
      <c r="BF36" s="276">
        <f t="shared" si="171"/>
        <v>-3.8794749913043457E-2</v>
      </c>
      <c r="BG36" s="277">
        <f t="shared" si="9"/>
        <v>-3.6266370365217411E-2</v>
      </c>
      <c r="BH36" s="278">
        <f t="shared" si="172"/>
        <v>1.6967999999999994E-2</v>
      </c>
      <c r="BI36" s="284">
        <f t="shared" si="173"/>
        <v>-7.2532740730434808E-2</v>
      </c>
      <c r="BJ36" s="276">
        <f t="shared" si="174"/>
        <v>-7.7589499826087024E-2</v>
      </c>
      <c r="BK36" s="277">
        <f t="shared" si="10"/>
        <v>-7.2532740730434808E-2</v>
      </c>
      <c r="BL36" s="278">
        <f t="shared" si="175"/>
        <v>1.6967999999999994E-2</v>
      </c>
      <c r="BM36" s="284">
        <f t="shared" si="176"/>
        <v>-7.2532740730434767E-2</v>
      </c>
      <c r="BN36" s="276">
        <f t="shared" si="177"/>
        <v>-7.7589499826086886E-2</v>
      </c>
      <c r="BO36" s="277">
        <f t="shared" si="11"/>
        <v>-7.2532740730434767E-2</v>
      </c>
      <c r="BP36" s="278">
        <f t="shared" si="178"/>
        <v>1.6967999999999994E-2</v>
      </c>
      <c r="BQ36" s="284">
        <f t="shared" si="179"/>
        <v>-7.2532740730434822E-2</v>
      </c>
      <c r="BR36" s="276">
        <f t="shared" si="180"/>
        <v>-7.7589499826086997E-2</v>
      </c>
      <c r="BS36" s="277">
        <f t="shared" si="12"/>
        <v>-7.2532740730434822E-2</v>
      </c>
      <c r="BT36" s="278">
        <f t="shared" si="181"/>
        <v>1.6967999999999994E-2</v>
      </c>
      <c r="BU36" s="284">
        <f t="shared" si="182"/>
        <v>-7.2532740730434767E-2</v>
      </c>
      <c r="BV36" s="276">
        <f t="shared" si="183"/>
        <v>-7.7589499826086941E-2</v>
      </c>
      <c r="BW36" s="278">
        <f t="shared" si="13"/>
        <v>-7.2532740730434767E-2</v>
      </c>
      <c r="BX36" s="391">
        <f t="shared" si="44"/>
        <v>-1.6968E-2</v>
      </c>
      <c r="BY36" s="388">
        <f t="shared" si="45"/>
        <v>-0.29013096292173918</v>
      </c>
      <c r="BZ36" s="409">
        <f t="shared" si="184"/>
        <v>0.79999999999999971</v>
      </c>
      <c r="CB36" s="279">
        <f t="shared" si="185"/>
        <v>-0.53614798534798536</v>
      </c>
      <c r="CC36" s="64">
        <f t="shared" si="15"/>
        <v>-0.56393035571320271</v>
      </c>
      <c r="CD36" s="64">
        <f t="shared" si="16"/>
        <v>-0.59171272607842007</v>
      </c>
      <c r="CE36" s="64">
        <f t="shared" si="17"/>
        <v>-0.6472774668088549</v>
      </c>
      <c r="CF36" s="64">
        <f t="shared" si="18"/>
        <v>-0.70284220753928972</v>
      </c>
      <c r="CG36" s="64">
        <f t="shared" si="19"/>
        <v>-0.75840694826972455</v>
      </c>
      <c r="CH36" s="64">
        <f t="shared" si="20"/>
        <v>-0.81397168900015937</v>
      </c>
      <c r="CI36">
        <v>2046</v>
      </c>
      <c r="CJ36" s="240"/>
      <c r="CL36">
        <v>2046</v>
      </c>
      <c r="CM36" s="3">
        <f t="shared" si="46"/>
        <v>0.95</v>
      </c>
      <c r="CN36" s="64">
        <f t="shared" si="21"/>
        <v>0.92503999999999997</v>
      </c>
      <c r="CO36" s="64">
        <f t="shared" si="21"/>
        <v>0.91903999999999997</v>
      </c>
      <c r="CP36" s="64">
        <f t="shared" si="21"/>
        <v>0.90000153846153841</v>
      </c>
      <c r="CQ36" s="64">
        <f t="shared" si="21"/>
        <v>0.8453586813186813</v>
      </c>
      <c r="CR36" s="64">
        <f t="shared" si="22"/>
        <v>0.80170904628218498</v>
      </c>
      <c r="CS36" s="64">
        <f t="shared" si="22"/>
        <v>0.71124675917756208</v>
      </c>
      <c r="CT36" s="64">
        <f t="shared" si="22"/>
        <v>0.49869201465201451</v>
      </c>
      <c r="CU36" s="64">
        <f t="shared" si="23"/>
        <v>0.41385201465201454</v>
      </c>
      <c r="CV36" s="64">
        <f t="shared" si="23"/>
        <v>0.42233601465201454</v>
      </c>
      <c r="CW36" s="65">
        <f t="shared" si="47"/>
        <v>0.38606964428679719</v>
      </c>
      <c r="CX36" s="64">
        <f t="shared" si="48"/>
        <v>0.43082001465201453</v>
      </c>
      <c r="CY36" s="65">
        <f t="shared" si="49"/>
        <v>0.35828727392157977</v>
      </c>
      <c r="CZ36" s="64">
        <f t="shared" si="50"/>
        <v>0.44778801465201451</v>
      </c>
      <c r="DA36" s="65">
        <f t="shared" si="51"/>
        <v>0.30272253319114495</v>
      </c>
      <c r="DB36" s="64">
        <f t="shared" si="52"/>
        <v>0.46475601465201449</v>
      </c>
      <c r="DC36" s="65">
        <f t="shared" si="53"/>
        <v>0.24715779246071018</v>
      </c>
      <c r="DD36" s="64">
        <f t="shared" si="54"/>
        <v>0.48172401465201448</v>
      </c>
      <c r="DE36" s="65">
        <f t="shared" si="55"/>
        <v>0.19159305173027535</v>
      </c>
      <c r="DF36" s="64">
        <f t="shared" si="56"/>
        <v>0.49869201465201446</v>
      </c>
      <c r="DG36" s="65">
        <f t="shared" si="57"/>
        <v>0.13602831099984058</v>
      </c>
      <c r="DL36">
        <v>2046</v>
      </c>
      <c r="DM36" s="64">
        <f t="shared" si="58"/>
        <v>0.13602831099984058</v>
      </c>
      <c r="DN36" s="64">
        <f t="shared" si="59"/>
        <v>0.19159305173027535</v>
      </c>
      <c r="DO36" s="64">
        <f t="shared" si="60"/>
        <v>0.24715779246071018</v>
      </c>
      <c r="DP36" s="64">
        <f t="shared" si="61"/>
        <v>0.30272253319114495</v>
      </c>
      <c r="DQ36" s="64">
        <f t="shared" si="62"/>
        <v>0.35828727392157977</v>
      </c>
      <c r="DR36" s="64">
        <f t="shared" si="63"/>
        <v>0.38606964428679719</v>
      </c>
      <c r="DS36" s="64">
        <f t="shared" si="24"/>
        <v>0.41385201465201454</v>
      </c>
      <c r="DT36" s="64">
        <f t="shared" si="25"/>
        <v>0.49869201465201451</v>
      </c>
      <c r="DU36" s="64">
        <f t="shared" si="26"/>
        <v>0.71124675917756208</v>
      </c>
      <c r="DV36" s="64">
        <f t="shared" si="27"/>
        <v>0.80170904628218498</v>
      </c>
      <c r="DW36" s="64">
        <f t="shared" si="28"/>
        <v>0.8453586813186813</v>
      </c>
      <c r="DX36" s="64">
        <f t="shared" si="29"/>
        <v>0.90000153846153841</v>
      </c>
      <c r="DY36" s="64">
        <f t="shared" si="30"/>
        <v>0.91903999999999997</v>
      </c>
      <c r="DZ36" s="64">
        <f t="shared" si="31"/>
        <v>0.92503999999999997</v>
      </c>
      <c r="EA36" s="3">
        <f t="shared" si="64"/>
        <v>0.95</v>
      </c>
      <c r="EB36">
        <v>2046</v>
      </c>
      <c r="EC36" s="269">
        <f t="shared" si="65"/>
        <v>0.1360283109998407</v>
      </c>
      <c r="ED36" s="269">
        <f t="shared" si="66"/>
        <v>0.05</v>
      </c>
      <c r="EE36" s="64">
        <f t="shared" si="186"/>
        <v>5.556474073043477E-2</v>
      </c>
      <c r="EF36" s="64">
        <f t="shared" si="186"/>
        <v>5.5564740730434825E-2</v>
      </c>
      <c r="EG36" s="64">
        <f t="shared" si="186"/>
        <v>5.556474073043477E-2</v>
      </c>
      <c r="EH36" s="64">
        <f t="shared" si="186"/>
        <v>5.5564740730434825E-2</v>
      </c>
      <c r="EI36" s="64">
        <f t="shared" si="186"/>
        <v>2.7782370365217413E-2</v>
      </c>
      <c r="EJ36" s="64">
        <f t="shared" si="186"/>
        <v>2.7782370365217357E-2</v>
      </c>
      <c r="EK36" s="64">
        <f t="shared" si="186"/>
        <v>8.4839999999999971E-2</v>
      </c>
      <c r="EL36" s="64">
        <f t="shared" si="186"/>
        <v>0.21255474452554757</v>
      </c>
      <c r="EM36" s="64">
        <f t="shared" si="186"/>
        <v>9.0462287104622896E-2</v>
      </c>
      <c r="EN36" s="64">
        <f t="shared" si="186"/>
        <v>4.3649635036496326E-2</v>
      </c>
      <c r="EO36" s="64">
        <f t="shared" si="186"/>
        <v>5.4642857142857104E-2</v>
      </c>
      <c r="EP36" s="64">
        <f t="shared" si="186"/>
        <v>1.903846153846156E-2</v>
      </c>
      <c r="EQ36" s="64">
        <f t="shared" si="186"/>
        <v>6.0000000000000053E-3</v>
      </c>
      <c r="ER36" s="64">
        <f t="shared" si="186"/>
        <v>2.4959999999999982E-2</v>
      </c>
      <c r="EX36" s="89">
        <v>2046</v>
      </c>
      <c r="EY36" s="278">
        <f t="shared" si="67"/>
        <v>1.1233333333333333</v>
      </c>
      <c r="EZ36" s="278"/>
      <c r="FA36" s="278">
        <f t="shared" si="68"/>
        <v>0.16827321823981312</v>
      </c>
      <c r="FB36" s="278">
        <f t="shared" si="33"/>
        <v>0.05</v>
      </c>
      <c r="FC36" s="64">
        <f t="shared" si="69"/>
        <v>0.42552541228521734</v>
      </c>
      <c r="FD36" s="64">
        <f t="shared" si="70"/>
        <v>8.1416355139178131E-18</v>
      </c>
      <c r="FE36" s="64">
        <f t="shared" si="71"/>
        <v>0.24939756690997578</v>
      </c>
      <c r="FF36" s="64">
        <f t="shared" si="72"/>
        <v>0.10614241686942417</v>
      </c>
      <c r="FG36" s="64">
        <f t="shared" si="73"/>
        <v>5.1215571776155683E-2</v>
      </c>
      <c r="FH36" s="64">
        <f t="shared" si="74"/>
        <v>6.4114285714285651E-2</v>
      </c>
      <c r="FI36" s="64">
        <f t="shared" si="75"/>
        <v>2.233846153846156E-2</v>
      </c>
      <c r="FJ36" s="64">
        <f t="shared" si="76"/>
        <v>7.0400000000000046E-3</v>
      </c>
      <c r="FK36" s="280">
        <f t="shared" si="77"/>
        <v>2.9286399999999973E-2</v>
      </c>
      <c r="FL36" s="64"/>
      <c r="FM36" s="89">
        <v>2046</v>
      </c>
      <c r="FN36" s="278">
        <f t="shared" si="78"/>
        <v>1.1233333333333333</v>
      </c>
      <c r="FP36" s="278">
        <f t="shared" si="79"/>
        <v>0.23346918069685663</v>
      </c>
      <c r="FQ36" s="278">
        <f t="shared" si="80"/>
        <v>0.05</v>
      </c>
      <c r="FR36" s="64">
        <f t="shared" si="81"/>
        <v>0.34042032982817388</v>
      </c>
      <c r="FS36" s="64">
        <f t="shared" si="82"/>
        <v>1.9909119999999995E-2</v>
      </c>
      <c r="FT36" s="64">
        <f t="shared" si="83"/>
        <v>0.24939756690997578</v>
      </c>
      <c r="FU36" s="64">
        <f t="shared" si="84"/>
        <v>0.10614241686942417</v>
      </c>
      <c r="FV36" s="64">
        <f t="shared" si="85"/>
        <v>5.1215571776155683E-2</v>
      </c>
      <c r="FW36" s="64">
        <f t="shared" si="86"/>
        <v>6.4114285714285651E-2</v>
      </c>
      <c r="FX36" s="64">
        <f t="shared" si="87"/>
        <v>2.233846153846156E-2</v>
      </c>
      <c r="FY36" s="64">
        <f t="shared" si="88"/>
        <v>7.0400000000000046E-3</v>
      </c>
      <c r="FZ36" s="280">
        <f t="shared" si="89"/>
        <v>2.9286399999999973E-2</v>
      </c>
      <c r="GA36" s="64"/>
      <c r="GB36" s="89">
        <v>2046</v>
      </c>
      <c r="GC36" s="278">
        <f t="shared" si="90"/>
        <v>1.1233333333333333</v>
      </c>
      <c r="GE36" s="278">
        <f t="shared" si="91"/>
        <v>0.29866514315390014</v>
      </c>
      <c r="GF36" s="278">
        <f t="shared" si="92"/>
        <v>0.05</v>
      </c>
      <c r="GG36" s="64">
        <f t="shared" si="93"/>
        <v>0.25531524737113043</v>
      </c>
      <c r="GH36" s="64">
        <f t="shared" si="94"/>
        <v>3.9818239999999984E-2</v>
      </c>
      <c r="GI36" s="64">
        <f t="shared" si="95"/>
        <v>0.24939756690997578</v>
      </c>
      <c r="GJ36" s="64">
        <f t="shared" si="96"/>
        <v>0.10614241686942417</v>
      </c>
      <c r="GK36" s="64">
        <f t="shared" si="97"/>
        <v>5.1215571776155683E-2</v>
      </c>
      <c r="GL36" s="64">
        <f t="shared" si="98"/>
        <v>6.4114285714285651E-2</v>
      </c>
      <c r="GM36" s="64">
        <f t="shared" si="99"/>
        <v>2.233846153846156E-2</v>
      </c>
      <c r="GN36" s="64">
        <f t="shared" si="100"/>
        <v>7.0400000000000046E-3</v>
      </c>
      <c r="GO36" s="280">
        <f t="shared" si="101"/>
        <v>2.9286399999999973E-2</v>
      </c>
      <c r="GP36" s="64"/>
      <c r="GQ36" s="89">
        <v>2046</v>
      </c>
      <c r="GR36" s="278">
        <f t="shared" si="102"/>
        <v>1.1233333333333333</v>
      </c>
      <c r="GT36" s="278">
        <f t="shared" si="103"/>
        <v>0.36386110561094354</v>
      </c>
      <c r="GU36" s="278">
        <f t="shared" si="104"/>
        <v>0.05</v>
      </c>
      <c r="GV36" s="64">
        <f t="shared" si="105"/>
        <v>0.17021016491408694</v>
      </c>
      <c r="GW36" s="64">
        <f t="shared" si="106"/>
        <v>5.9727359999999979E-2</v>
      </c>
      <c r="GX36" s="64">
        <f t="shared" si="107"/>
        <v>0.24939756690997578</v>
      </c>
      <c r="GY36" s="64">
        <f t="shared" si="108"/>
        <v>0.10614241686942417</v>
      </c>
      <c r="GZ36" s="64">
        <f t="shared" si="109"/>
        <v>5.1215571776155683E-2</v>
      </c>
      <c r="HA36" s="64">
        <f t="shared" si="110"/>
        <v>6.4114285714285651E-2</v>
      </c>
      <c r="HB36" s="64">
        <f t="shared" si="111"/>
        <v>2.233846153846156E-2</v>
      </c>
      <c r="HC36" s="64">
        <f t="shared" si="112"/>
        <v>7.0400000000000046E-3</v>
      </c>
      <c r="HD36" s="280">
        <f t="shared" si="113"/>
        <v>2.9286399999999973E-2</v>
      </c>
      <c r="HE36" s="64"/>
      <c r="HF36" s="89">
        <v>2046</v>
      </c>
      <c r="HG36" s="278">
        <f t="shared" si="114"/>
        <v>1.1233333333333333</v>
      </c>
      <c r="HI36" s="278">
        <f t="shared" si="115"/>
        <v>0.42905706806798705</v>
      </c>
      <c r="HJ36" s="278">
        <f t="shared" si="116"/>
        <v>0.05</v>
      </c>
      <c r="HK36" s="64">
        <f t="shared" si="117"/>
        <v>8.5105082457043457E-2</v>
      </c>
      <c r="HL36" s="64">
        <f t="shared" si="118"/>
        <v>7.9636479999999968E-2</v>
      </c>
      <c r="HM36" s="64">
        <f t="shared" si="119"/>
        <v>0.24939756690997578</v>
      </c>
      <c r="HN36" s="64">
        <f t="shared" si="120"/>
        <v>0.10614241686942417</v>
      </c>
      <c r="HO36" s="64">
        <f t="shared" si="121"/>
        <v>5.1215571776155683E-2</v>
      </c>
      <c r="HP36" s="64">
        <f t="shared" si="122"/>
        <v>6.4114285714285651E-2</v>
      </c>
      <c r="HQ36" s="64">
        <f t="shared" si="123"/>
        <v>2.233846153846156E-2</v>
      </c>
      <c r="HR36" s="64">
        <f t="shared" si="124"/>
        <v>7.0400000000000046E-3</v>
      </c>
      <c r="HS36" s="280">
        <f t="shared" si="125"/>
        <v>2.9286399999999973E-2</v>
      </c>
      <c r="HT36" s="64"/>
      <c r="HU36" s="89">
        <v>2046</v>
      </c>
      <c r="HV36" s="278">
        <f t="shared" si="126"/>
        <v>1.1233333333333333</v>
      </c>
      <c r="HX36" s="278">
        <f t="shared" si="127"/>
        <v>0.4616550492965088</v>
      </c>
      <c r="HY36" s="278">
        <f t="shared" si="128"/>
        <v>0.05</v>
      </c>
      <c r="HZ36" s="64">
        <f t="shared" si="129"/>
        <v>4.2552541228521708E-2</v>
      </c>
      <c r="IA36" s="64">
        <f t="shared" si="130"/>
        <v>8.9591039999999955E-2</v>
      </c>
      <c r="IB36" s="64">
        <f t="shared" si="131"/>
        <v>0.24939756690997578</v>
      </c>
      <c r="IC36" s="64">
        <f t="shared" si="132"/>
        <v>0.10614241686942417</v>
      </c>
      <c r="ID36" s="64">
        <f t="shared" si="133"/>
        <v>5.1215571776155683E-2</v>
      </c>
      <c r="IE36" s="64">
        <f t="shared" si="134"/>
        <v>6.4114285714285651E-2</v>
      </c>
      <c r="IF36" s="64">
        <f t="shared" si="135"/>
        <v>2.233846153846156E-2</v>
      </c>
      <c r="IG36" s="64">
        <f t="shared" si="136"/>
        <v>7.0400000000000046E-3</v>
      </c>
      <c r="IH36" s="280">
        <f t="shared" si="137"/>
        <v>2.9286399999999973E-2</v>
      </c>
      <c r="II36" s="64"/>
      <c r="IJ36" s="89">
        <v>2046</v>
      </c>
      <c r="IK36" s="278">
        <f t="shared" si="138"/>
        <v>1.1233333333333333</v>
      </c>
      <c r="IM36" s="278">
        <f t="shared" si="139"/>
        <v>0.49425303052503056</v>
      </c>
      <c r="IN36" s="278">
        <f t="shared" si="140"/>
        <v>0.05</v>
      </c>
      <c r="IO36" s="64">
        <v>0</v>
      </c>
      <c r="IP36" s="64">
        <f t="shared" si="141"/>
        <v>9.9545599999999942E-2</v>
      </c>
      <c r="IQ36" s="64">
        <f t="shared" si="142"/>
        <v>0.24939756690997578</v>
      </c>
      <c r="IR36" s="64">
        <f t="shared" si="143"/>
        <v>0.10614241686942417</v>
      </c>
      <c r="IS36" s="64">
        <f t="shared" si="144"/>
        <v>5.1215571776155683E-2</v>
      </c>
      <c r="IT36" s="64">
        <f t="shared" si="145"/>
        <v>6.4114285714285651E-2</v>
      </c>
      <c r="IU36" s="64">
        <f t="shared" si="146"/>
        <v>2.233846153846156E-2</v>
      </c>
      <c r="IV36" s="64">
        <f t="shared" si="147"/>
        <v>7.0400000000000046E-3</v>
      </c>
      <c r="IW36" s="280">
        <f t="shared" si="148"/>
        <v>2.9286399999999973E-2</v>
      </c>
      <c r="IX36" s="64"/>
      <c r="IY36" s="3">
        <f t="shared" si="149"/>
        <v>0.16999999999999993</v>
      </c>
      <c r="IZ36">
        <f t="shared" si="34"/>
        <v>2046</v>
      </c>
      <c r="JA36" s="3">
        <f t="shared" si="150"/>
        <v>19.793272276190475</v>
      </c>
      <c r="JB36" s="353">
        <f>HLOOKUP('1 StrategyMix for CarbonTargets'!$V$46,'Stress calculations'!JI$8:JU$39,29,FALSE)</f>
        <v>17.519020093558979</v>
      </c>
      <c r="JC36" s="3">
        <f t="shared" si="151"/>
        <v>27.99</v>
      </c>
      <c r="JD36" s="353">
        <f t="shared" si="152"/>
        <v>29.463157894736842</v>
      </c>
      <c r="JE36" s="418">
        <f t="shared" si="35"/>
        <v>0.17000000000000012</v>
      </c>
      <c r="JF36" s="368">
        <f t="shared" si="153"/>
        <v>12.519999999999996</v>
      </c>
      <c r="JG36" s="369">
        <f t="shared" si="154"/>
        <v>13.178947368421049</v>
      </c>
      <c r="JH36" s="363">
        <f t="shared" si="155"/>
        <v>15.852921245386993</v>
      </c>
      <c r="JI36" s="362">
        <f t="shared" si="36"/>
        <v>16.687285521459994</v>
      </c>
      <c r="JJ36" s="366">
        <f t="shared" si="37"/>
        <v>16.643069088881028</v>
      </c>
      <c r="JK36" s="367">
        <f t="shared" si="8"/>
        <v>17.519020093558979</v>
      </c>
      <c r="JL36" s="363">
        <f t="shared" si="38"/>
        <v>17.433216932375057</v>
      </c>
      <c r="JM36" s="362">
        <f t="shared" si="39"/>
        <v>18.350754665657956</v>
      </c>
      <c r="JN36" s="366">
        <f t="shared" si="156"/>
        <v>18.223364775869079</v>
      </c>
      <c r="JO36" s="367">
        <f t="shared" si="40"/>
        <v>19.182489237756926</v>
      </c>
      <c r="JP36" s="363">
        <f t="shared" si="157"/>
        <v>19.013512619363112</v>
      </c>
      <c r="JQ36" s="362">
        <f t="shared" si="41"/>
        <v>20.01422380985591</v>
      </c>
      <c r="JR36" s="366">
        <f t="shared" si="158"/>
        <v>19.403392447776795</v>
      </c>
      <c r="JS36" s="367">
        <f t="shared" si="42"/>
        <v>20.424623629238734</v>
      </c>
      <c r="JT36" s="363">
        <f t="shared" si="159"/>
        <v>19.793272276190475</v>
      </c>
      <c r="JU36" s="362">
        <f t="shared" si="43"/>
        <v>20.835023448621552</v>
      </c>
    </row>
    <row r="37" spans="1:283">
      <c r="A37" s="689" t="s">
        <v>114</v>
      </c>
      <c r="B37" s="689"/>
      <c r="C37" s="689"/>
      <c r="D37" s="689"/>
      <c r="E37" s="689"/>
      <c r="F37" s="689"/>
      <c r="G37" s="235">
        <v>0</v>
      </c>
      <c r="H37" s="64">
        <f>$A78*(1-H$3-H$16-H$19-H$22-H$25-H$31-H$32-H$33)</f>
        <v>0</v>
      </c>
      <c r="I37" s="64">
        <f>$A78*(1-I$3-I$16-I$19-I$22-I$25-I$31-I$32-I$33)</f>
        <v>0</v>
      </c>
      <c r="J37" s="64">
        <f>$A78*(1-J$3-J$16-J$19-J$22-J$25-J$31-J$32-J$33)</f>
        <v>0</v>
      </c>
      <c r="K37" s="64"/>
      <c r="M37" s="235">
        <v>0</v>
      </c>
      <c r="N37" s="235"/>
      <c r="O37" s="64">
        <f>$A101*(1-H$3-H$16-H$19-H$22-H$25-H$31-H$32-H$33)</f>
        <v>0</v>
      </c>
      <c r="P37" s="64">
        <f>$A101*(1-I$3-I$16-I$19-I$22-I$25-I$31-I$32-I$33)</f>
        <v>0</v>
      </c>
      <c r="Q37" s="64">
        <f>$A101*(1-J$3-J$16-J$19-J$22-J$25-J$31-J$32-J$33)</f>
        <v>0</v>
      </c>
      <c r="AO37" s="89">
        <v>2047</v>
      </c>
      <c r="AP37" s="170">
        <f t="shared" si="160"/>
        <v>-2.5919999999999995E-2</v>
      </c>
      <c r="AQ37" s="170">
        <f t="shared" si="160"/>
        <v>-6.2500000000000038E-3</v>
      </c>
      <c r="AR37" s="170">
        <f t="shared" si="160"/>
        <v>-1.990384615384615E-2</v>
      </c>
      <c r="AS37" s="170">
        <f t="shared" si="160"/>
        <v>-5.7857142857142843E-2</v>
      </c>
      <c r="AU37" s="170">
        <f t="shared" si="161"/>
        <v>-4.532846715328466E-2</v>
      </c>
      <c r="AV37" s="170">
        <f t="shared" si="162"/>
        <v>-9.3941605839416117E-2</v>
      </c>
      <c r="AW37" s="170">
        <f t="shared" si="163"/>
        <v>-0.22072992700729938</v>
      </c>
      <c r="AY37" s="170">
        <f t="shared" si="164"/>
        <v>-8.4839999999999971E-2</v>
      </c>
      <c r="AZ37" s="278">
        <f t="shared" si="165"/>
        <v>8.4839999999999968E-3</v>
      </c>
      <c r="BA37" s="284">
        <f t="shared" si="166"/>
        <v>-3.6898465252173891E-2</v>
      </c>
      <c r="BB37" s="276">
        <f t="shared" si="167"/>
        <v>-3.8794749913043457E-2</v>
      </c>
      <c r="BC37" s="277">
        <f t="shared" si="168"/>
        <v>-3.6898465252173891E-2</v>
      </c>
      <c r="BD37" s="278">
        <f t="shared" si="169"/>
        <v>8.4839999999999968E-3</v>
      </c>
      <c r="BE37" s="284">
        <f t="shared" si="170"/>
        <v>-3.6898465252173933E-2</v>
      </c>
      <c r="BF37" s="276">
        <f t="shared" si="171"/>
        <v>-3.8794749913043457E-2</v>
      </c>
      <c r="BG37" s="277">
        <f t="shared" si="9"/>
        <v>-3.6898465252173933E-2</v>
      </c>
      <c r="BH37" s="278">
        <f t="shared" si="172"/>
        <v>1.6967999999999994E-2</v>
      </c>
      <c r="BI37" s="284">
        <f t="shared" si="173"/>
        <v>-7.3796930504347852E-2</v>
      </c>
      <c r="BJ37" s="276">
        <f t="shared" si="174"/>
        <v>-7.7589499826087024E-2</v>
      </c>
      <c r="BK37" s="277">
        <f t="shared" si="10"/>
        <v>-7.3796930504347852E-2</v>
      </c>
      <c r="BL37" s="278">
        <f t="shared" si="175"/>
        <v>1.6967999999999994E-2</v>
      </c>
      <c r="BM37" s="284">
        <f t="shared" si="176"/>
        <v>-7.379693050434781E-2</v>
      </c>
      <c r="BN37" s="276">
        <f t="shared" si="177"/>
        <v>-7.7589499826086886E-2</v>
      </c>
      <c r="BO37" s="277">
        <f t="shared" si="11"/>
        <v>-7.379693050434781E-2</v>
      </c>
      <c r="BP37" s="278">
        <f t="shared" si="178"/>
        <v>1.6967999999999994E-2</v>
      </c>
      <c r="BQ37" s="284">
        <f t="shared" si="179"/>
        <v>-7.3796930504347866E-2</v>
      </c>
      <c r="BR37" s="276">
        <f t="shared" si="180"/>
        <v>-7.7589499826086997E-2</v>
      </c>
      <c r="BS37" s="277">
        <f t="shared" si="12"/>
        <v>-7.3796930504347866E-2</v>
      </c>
      <c r="BT37" s="278">
        <f t="shared" si="181"/>
        <v>1.6967999999999994E-2</v>
      </c>
      <c r="BU37" s="284">
        <f t="shared" si="182"/>
        <v>-7.379693050434781E-2</v>
      </c>
      <c r="BV37" s="276">
        <f t="shared" si="183"/>
        <v>-7.7589499826086941E-2</v>
      </c>
      <c r="BW37" s="278">
        <f t="shared" si="13"/>
        <v>-7.379693050434781E-2</v>
      </c>
      <c r="BX37" s="391">
        <f t="shared" si="44"/>
        <v>-1.6968E-2</v>
      </c>
      <c r="BY37" s="388">
        <f t="shared" si="45"/>
        <v>-0.29518772201739135</v>
      </c>
      <c r="BZ37" s="409">
        <f t="shared" si="184"/>
        <v>0.79999999999999971</v>
      </c>
      <c r="CB37" s="279">
        <f t="shared" si="185"/>
        <v>-0.55477098901098909</v>
      </c>
      <c r="CC37" s="64">
        <f t="shared" si="15"/>
        <v>-0.58318545426316293</v>
      </c>
      <c r="CD37" s="64">
        <f t="shared" si="16"/>
        <v>-0.61159991951533677</v>
      </c>
      <c r="CE37" s="64">
        <f t="shared" si="17"/>
        <v>-0.66842885001968466</v>
      </c>
      <c r="CF37" s="64">
        <f t="shared" si="18"/>
        <v>-0.72525778052403245</v>
      </c>
      <c r="CG37" s="64">
        <f t="shared" si="19"/>
        <v>-0.78208671102838034</v>
      </c>
      <c r="CH37" s="64">
        <f t="shared" si="20"/>
        <v>-0.83891564153272813</v>
      </c>
      <c r="CI37">
        <v>2047</v>
      </c>
      <c r="CJ37" s="240"/>
      <c r="CL37">
        <v>2047</v>
      </c>
      <c r="CM37" s="3">
        <f t="shared" si="46"/>
        <v>0.95</v>
      </c>
      <c r="CN37" s="64">
        <f t="shared" si="21"/>
        <v>0.92408000000000001</v>
      </c>
      <c r="CO37" s="64">
        <f t="shared" si="21"/>
        <v>0.91783000000000003</v>
      </c>
      <c r="CP37" s="64">
        <f t="shared" si="21"/>
        <v>0.89792615384615393</v>
      </c>
      <c r="CQ37" s="64">
        <f t="shared" si="21"/>
        <v>0.8400690109890111</v>
      </c>
      <c r="CR37" s="64">
        <f t="shared" si="22"/>
        <v>0.79474054383572645</v>
      </c>
      <c r="CS37" s="64">
        <f t="shared" si="22"/>
        <v>0.70079893799631032</v>
      </c>
      <c r="CT37" s="64">
        <f t="shared" si="22"/>
        <v>0.48006901098901095</v>
      </c>
      <c r="CU37" s="64">
        <f t="shared" si="23"/>
        <v>0.39522901098901098</v>
      </c>
      <c r="CV37" s="64">
        <f t="shared" si="23"/>
        <v>0.40371301098901097</v>
      </c>
      <c r="CW37" s="65">
        <f t="shared" si="47"/>
        <v>0.36681454573683708</v>
      </c>
      <c r="CX37" s="64">
        <f t="shared" si="48"/>
        <v>0.41219701098901096</v>
      </c>
      <c r="CY37" s="65">
        <f t="shared" si="49"/>
        <v>0.33840008048466313</v>
      </c>
      <c r="CZ37" s="64">
        <f t="shared" si="50"/>
        <v>0.42916501098901094</v>
      </c>
      <c r="DA37" s="65">
        <f t="shared" si="51"/>
        <v>0.28157114998031529</v>
      </c>
      <c r="DB37" s="64">
        <f t="shared" si="52"/>
        <v>0.44613301098901093</v>
      </c>
      <c r="DC37" s="65">
        <f t="shared" si="53"/>
        <v>0.22474221947596745</v>
      </c>
      <c r="DD37" s="64">
        <f t="shared" si="54"/>
        <v>0.46310101098901091</v>
      </c>
      <c r="DE37" s="65">
        <f t="shared" si="55"/>
        <v>0.16791328897161956</v>
      </c>
      <c r="DF37" s="64">
        <f t="shared" si="56"/>
        <v>0.48006901098901089</v>
      </c>
      <c r="DG37" s="65">
        <f t="shared" si="57"/>
        <v>0.11108435846727173</v>
      </c>
      <c r="DL37">
        <v>2047</v>
      </c>
      <c r="DM37" s="64">
        <f t="shared" si="58"/>
        <v>0.11108435846727173</v>
      </c>
      <c r="DN37" s="64">
        <f t="shared" si="59"/>
        <v>0.16791328897161956</v>
      </c>
      <c r="DO37" s="64">
        <f t="shared" si="60"/>
        <v>0.22474221947596745</v>
      </c>
      <c r="DP37" s="64">
        <f t="shared" si="61"/>
        <v>0.28157114998031529</v>
      </c>
      <c r="DQ37" s="64">
        <f t="shared" si="62"/>
        <v>0.33840008048466313</v>
      </c>
      <c r="DR37" s="64">
        <f t="shared" si="63"/>
        <v>0.36681454573683708</v>
      </c>
      <c r="DS37" s="64">
        <f t="shared" si="24"/>
        <v>0.39522901098901098</v>
      </c>
      <c r="DT37" s="64">
        <f t="shared" si="25"/>
        <v>0.48006901098901095</v>
      </c>
      <c r="DU37" s="64">
        <f t="shared" si="26"/>
        <v>0.70079893799631032</v>
      </c>
      <c r="DV37" s="64">
        <f t="shared" si="27"/>
        <v>0.79474054383572645</v>
      </c>
      <c r="DW37" s="64">
        <f t="shared" si="28"/>
        <v>0.8400690109890111</v>
      </c>
      <c r="DX37" s="64">
        <f t="shared" si="29"/>
        <v>0.89792615384615393</v>
      </c>
      <c r="DY37" s="64">
        <f t="shared" si="30"/>
        <v>0.91783000000000003</v>
      </c>
      <c r="DZ37" s="64">
        <f t="shared" si="31"/>
        <v>0.92408000000000001</v>
      </c>
      <c r="EA37" s="3">
        <f t="shared" si="64"/>
        <v>0.95</v>
      </c>
      <c r="EB37">
        <v>2047</v>
      </c>
      <c r="EC37" s="269">
        <f t="shared" si="65"/>
        <v>0.11108435846727172</v>
      </c>
      <c r="ED37" s="269">
        <f t="shared" si="66"/>
        <v>0.05</v>
      </c>
      <c r="EE37" s="64">
        <f t="shared" si="186"/>
        <v>5.6828930504347827E-2</v>
      </c>
      <c r="EF37" s="64">
        <f t="shared" si="186"/>
        <v>5.6828930504347897E-2</v>
      </c>
      <c r="EG37" s="64">
        <f t="shared" si="186"/>
        <v>5.6828930504347841E-2</v>
      </c>
      <c r="EH37" s="64">
        <f t="shared" si="186"/>
        <v>5.6828930504347841E-2</v>
      </c>
      <c r="EI37" s="64">
        <f t="shared" si="186"/>
        <v>2.8414465252173948E-2</v>
      </c>
      <c r="EJ37" s="64">
        <f t="shared" si="186"/>
        <v>2.8414465252173893E-2</v>
      </c>
      <c r="EK37" s="64">
        <f t="shared" si="186"/>
        <v>8.4839999999999971E-2</v>
      </c>
      <c r="EL37" s="64">
        <f t="shared" si="186"/>
        <v>0.22072992700729938</v>
      </c>
      <c r="EM37" s="64">
        <f t="shared" si="186"/>
        <v>9.3941605839416131E-2</v>
      </c>
      <c r="EN37" s="64">
        <f t="shared" si="186"/>
        <v>4.5328467153284646E-2</v>
      </c>
      <c r="EO37" s="64">
        <f t="shared" si="186"/>
        <v>5.7857142857142829E-2</v>
      </c>
      <c r="EP37" s="64">
        <f t="shared" si="186"/>
        <v>1.9903846153846105E-2</v>
      </c>
      <c r="EQ37" s="64">
        <f t="shared" si="186"/>
        <v>6.2499999999999778E-3</v>
      </c>
      <c r="ER37" s="64">
        <f t="shared" si="186"/>
        <v>2.5919999999999943E-2</v>
      </c>
      <c r="EX37" s="89">
        <v>2047</v>
      </c>
      <c r="EY37" s="278">
        <f t="shared" si="67"/>
        <v>1.1299999999999999</v>
      </c>
      <c r="EZ37" s="278"/>
      <c r="FA37" s="278">
        <f t="shared" si="68"/>
        <v>0.1400795429913807</v>
      </c>
      <c r="FB37" s="278">
        <f t="shared" si="33"/>
        <v>0.05</v>
      </c>
      <c r="FC37" s="64">
        <f t="shared" si="69"/>
        <v>0.43540188997565221</v>
      </c>
      <c r="FD37" s="64">
        <f t="shared" si="70"/>
        <v>8.1878948066105291E-18</v>
      </c>
      <c r="FE37" s="64">
        <f t="shared" si="71"/>
        <v>0.26046131386861326</v>
      </c>
      <c r="FF37" s="64">
        <f t="shared" si="72"/>
        <v>0.11085109489051102</v>
      </c>
      <c r="FG37" s="64">
        <f t="shared" si="73"/>
        <v>5.3487591240875883E-2</v>
      </c>
      <c r="FH37" s="64">
        <f t="shared" si="74"/>
        <v>6.8271428571428538E-2</v>
      </c>
      <c r="FI37" s="64">
        <f t="shared" si="75"/>
        <v>2.3486538461538402E-2</v>
      </c>
      <c r="FJ37" s="64">
        <f t="shared" si="76"/>
        <v>7.3749999999999736E-3</v>
      </c>
      <c r="FK37" s="280">
        <f t="shared" si="77"/>
        <v>3.0585599999999932E-2</v>
      </c>
      <c r="FL37" s="64"/>
      <c r="FM37" s="89">
        <v>2047</v>
      </c>
      <c r="FN37" s="278">
        <f t="shared" si="78"/>
        <v>1.1299999999999999</v>
      </c>
      <c r="FP37" s="278">
        <f t="shared" si="79"/>
        <v>0.20713768098651109</v>
      </c>
      <c r="FQ37" s="278">
        <f t="shared" si="80"/>
        <v>0.05</v>
      </c>
      <c r="FR37" s="64">
        <f t="shared" si="81"/>
        <v>0.3483215119805218</v>
      </c>
      <c r="FS37" s="64">
        <f t="shared" si="82"/>
        <v>2.002224E-2</v>
      </c>
      <c r="FT37" s="64">
        <f t="shared" si="83"/>
        <v>0.26046131386861326</v>
      </c>
      <c r="FU37" s="64">
        <f t="shared" si="84"/>
        <v>0.11085109489051102</v>
      </c>
      <c r="FV37" s="64">
        <f t="shared" si="85"/>
        <v>5.3487591240875883E-2</v>
      </c>
      <c r="FW37" s="64">
        <f t="shared" si="86"/>
        <v>6.8271428571428538E-2</v>
      </c>
      <c r="FX37" s="64">
        <f t="shared" si="87"/>
        <v>2.3486538461538402E-2</v>
      </c>
      <c r="FY37" s="64">
        <f t="shared" si="88"/>
        <v>7.3749999999999736E-3</v>
      </c>
      <c r="FZ37" s="280">
        <f t="shared" si="89"/>
        <v>3.0585599999999932E-2</v>
      </c>
      <c r="GA37" s="64"/>
      <c r="GB37" s="89">
        <v>2047</v>
      </c>
      <c r="GC37" s="278">
        <f t="shared" si="90"/>
        <v>1.1299999999999999</v>
      </c>
      <c r="GE37" s="278">
        <f t="shared" si="91"/>
        <v>0.27419581898164158</v>
      </c>
      <c r="GF37" s="278">
        <f t="shared" si="92"/>
        <v>0.05</v>
      </c>
      <c r="GG37" s="64">
        <f t="shared" si="93"/>
        <v>0.26124113398539128</v>
      </c>
      <c r="GH37" s="64">
        <f t="shared" si="94"/>
        <v>4.0044479999999993E-2</v>
      </c>
      <c r="GI37" s="64">
        <f t="shared" si="95"/>
        <v>0.26046131386861326</v>
      </c>
      <c r="GJ37" s="64">
        <f t="shared" si="96"/>
        <v>0.11085109489051102</v>
      </c>
      <c r="GK37" s="64">
        <f t="shared" si="97"/>
        <v>5.3487591240875883E-2</v>
      </c>
      <c r="GL37" s="64">
        <f t="shared" si="98"/>
        <v>6.8271428571428538E-2</v>
      </c>
      <c r="GM37" s="64">
        <f t="shared" si="99"/>
        <v>2.3486538461538402E-2</v>
      </c>
      <c r="GN37" s="64">
        <f t="shared" si="100"/>
        <v>7.3749999999999736E-3</v>
      </c>
      <c r="GO37" s="280">
        <f t="shared" si="101"/>
        <v>3.0585599999999932E-2</v>
      </c>
      <c r="GP37" s="64"/>
      <c r="GQ37" s="89">
        <v>2047</v>
      </c>
      <c r="GR37" s="278">
        <f t="shared" si="102"/>
        <v>1.1299999999999999</v>
      </c>
      <c r="GT37" s="278">
        <f t="shared" si="103"/>
        <v>0.34125395697677208</v>
      </c>
      <c r="GU37" s="278">
        <f t="shared" si="104"/>
        <v>0.05</v>
      </c>
      <c r="GV37" s="64">
        <f t="shared" si="105"/>
        <v>0.1741607559902609</v>
      </c>
      <c r="GW37" s="64">
        <f t="shared" si="106"/>
        <v>6.0066719999999983E-2</v>
      </c>
      <c r="GX37" s="64">
        <f t="shared" si="107"/>
        <v>0.26046131386861326</v>
      </c>
      <c r="GY37" s="64">
        <f t="shared" si="108"/>
        <v>0.11085109489051102</v>
      </c>
      <c r="GZ37" s="64">
        <f t="shared" si="109"/>
        <v>5.3487591240875883E-2</v>
      </c>
      <c r="HA37" s="64">
        <f t="shared" si="110"/>
        <v>6.8271428571428538E-2</v>
      </c>
      <c r="HB37" s="64">
        <f t="shared" si="111"/>
        <v>2.3486538461538402E-2</v>
      </c>
      <c r="HC37" s="64">
        <f t="shared" si="112"/>
        <v>7.3749999999999736E-3</v>
      </c>
      <c r="HD37" s="280">
        <f t="shared" si="113"/>
        <v>3.0585599999999932E-2</v>
      </c>
      <c r="HE37" s="64"/>
      <c r="HF37" s="89">
        <v>2047</v>
      </c>
      <c r="HG37" s="278">
        <f t="shared" si="114"/>
        <v>1.1299999999999999</v>
      </c>
      <c r="HI37" s="278">
        <f t="shared" si="115"/>
        <v>0.40831209497190257</v>
      </c>
      <c r="HJ37" s="278">
        <f t="shared" si="116"/>
        <v>0.05</v>
      </c>
      <c r="HK37" s="64">
        <f t="shared" si="117"/>
        <v>8.7080377995130423E-2</v>
      </c>
      <c r="HL37" s="64">
        <f t="shared" si="118"/>
        <v>8.0088959999999987E-2</v>
      </c>
      <c r="HM37" s="64">
        <f t="shared" si="119"/>
        <v>0.26046131386861326</v>
      </c>
      <c r="HN37" s="64">
        <f t="shared" si="120"/>
        <v>0.11085109489051102</v>
      </c>
      <c r="HO37" s="64">
        <f t="shared" si="121"/>
        <v>5.3487591240875883E-2</v>
      </c>
      <c r="HP37" s="64">
        <f t="shared" si="122"/>
        <v>6.8271428571428538E-2</v>
      </c>
      <c r="HQ37" s="64">
        <f t="shared" si="123"/>
        <v>2.3486538461538402E-2</v>
      </c>
      <c r="HR37" s="64">
        <f t="shared" si="124"/>
        <v>7.3749999999999736E-3</v>
      </c>
      <c r="HS37" s="280">
        <f t="shared" si="125"/>
        <v>3.0585599999999932E-2</v>
      </c>
      <c r="HT37" s="64"/>
      <c r="HU37" s="89">
        <v>2047</v>
      </c>
      <c r="HV37" s="278">
        <f t="shared" si="126"/>
        <v>1.1299999999999999</v>
      </c>
      <c r="HX37" s="278">
        <f t="shared" si="127"/>
        <v>0.44184116396946782</v>
      </c>
      <c r="HY37" s="278">
        <f t="shared" si="128"/>
        <v>0.05</v>
      </c>
      <c r="HZ37" s="64">
        <f t="shared" si="129"/>
        <v>4.3540188997565191E-2</v>
      </c>
      <c r="IA37" s="64">
        <f t="shared" si="130"/>
        <v>9.0100079999999971E-2</v>
      </c>
      <c r="IB37" s="64">
        <f t="shared" si="131"/>
        <v>0.26046131386861326</v>
      </c>
      <c r="IC37" s="64">
        <f t="shared" si="132"/>
        <v>0.11085109489051102</v>
      </c>
      <c r="ID37" s="64">
        <f t="shared" si="133"/>
        <v>5.3487591240875883E-2</v>
      </c>
      <c r="IE37" s="64">
        <f t="shared" si="134"/>
        <v>6.8271428571428538E-2</v>
      </c>
      <c r="IF37" s="64">
        <f t="shared" si="135"/>
        <v>2.3486538461538402E-2</v>
      </c>
      <c r="IG37" s="64">
        <f t="shared" si="136"/>
        <v>7.3749999999999736E-3</v>
      </c>
      <c r="IH37" s="280">
        <f t="shared" si="137"/>
        <v>3.0585599999999932E-2</v>
      </c>
      <c r="II37" s="64"/>
      <c r="IJ37" s="89">
        <v>2047</v>
      </c>
      <c r="IK37" s="278">
        <f t="shared" si="138"/>
        <v>1.1299999999999999</v>
      </c>
      <c r="IM37" s="278">
        <f t="shared" si="139"/>
        <v>0.47537023296703296</v>
      </c>
      <c r="IN37" s="278">
        <f t="shared" si="140"/>
        <v>0.05</v>
      </c>
      <c r="IO37" s="64">
        <v>0</v>
      </c>
      <c r="IP37" s="64">
        <f t="shared" si="141"/>
        <v>0.10011119999999996</v>
      </c>
      <c r="IQ37" s="64">
        <f t="shared" si="142"/>
        <v>0.26046131386861326</v>
      </c>
      <c r="IR37" s="64">
        <f t="shared" si="143"/>
        <v>0.11085109489051102</v>
      </c>
      <c r="IS37" s="64">
        <f t="shared" si="144"/>
        <v>5.3487591240875883E-2</v>
      </c>
      <c r="IT37" s="64">
        <f t="shared" si="145"/>
        <v>6.8271428571428538E-2</v>
      </c>
      <c r="IU37" s="64">
        <f t="shared" si="146"/>
        <v>2.3486538461538402E-2</v>
      </c>
      <c r="IV37" s="64">
        <f t="shared" si="147"/>
        <v>7.3749999999999736E-3</v>
      </c>
      <c r="IW37" s="280">
        <f t="shared" si="148"/>
        <v>3.0585599999999932E-2</v>
      </c>
      <c r="IX37" s="64"/>
      <c r="IY37" s="3">
        <f t="shared" si="149"/>
        <v>0.15249999999999986</v>
      </c>
      <c r="IZ37">
        <f t="shared" si="34"/>
        <v>2047</v>
      </c>
      <c r="JA37" s="3">
        <f t="shared" si="150"/>
        <v>20.268642509157509</v>
      </c>
      <c r="JB37" s="353">
        <f>HLOOKUP('1 StrategyMix for CarbonTargets'!$V$46,'Stress calculations'!JI$8:JU$39,30,FALSE)</f>
        <v>17.737059757755308</v>
      </c>
      <c r="JC37" s="3">
        <f t="shared" si="151"/>
        <v>29.119999999999997</v>
      </c>
      <c r="JD37" s="353">
        <f t="shared" si="152"/>
        <v>30.652631578947368</v>
      </c>
      <c r="JE37" s="418">
        <f t="shared" si="35"/>
        <v>0.15250000000000014</v>
      </c>
      <c r="JF37" s="368">
        <f t="shared" si="153"/>
        <v>12.672499999999996</v>
      </c>
      <c r="JG37" s="369">
        <f t="shared" si="154"/>
        <v>13.339473684210523</v>
      </c>
      <c r="JH37" s="363">
        <f t="shared" si="155"/>
        <v>15.993000788378373</v>
      </c>
      <c r="JI37" s="362">
        <f t="shared" si="36"/>
        <v>16.834737671977233</v>
      </c>
      <c r="JJ37" s="366">
        <f t="shared" si="37"/>
        <v>16.85020676986754</v>
      </c>
      <c r="JK37" s="367">
        <f t="shared" si="8"/>
        <v>17.737059757755308</v>
      </c>
      <c r="JL37" s="363">
        <f t="shared" si="38"/>
        <v>17.707412751356699</v>
      </c>
      <c r="JM37" s="362">
        <f t="shared" si="39"/>
        <v>18.639381843533368</v>
      </c>
      <c r="JN37" s="366">
        <f t="shared" si="156"/>
        <v>18.564618732845851</v>
      </c>
      <c r="JO37" s="367">
        <f t="shared" si="40"/>
        <v>19.541703929311424</v>
      </c>
      <c r="JP37" s="363">
        <f t="shared" si="157"/>
        <v>19.421824714335013</v>
      </c>
      <c r="JQ37" s="362">
        <f t="shared" si="41"/>
        <v>20.444026015089488</v>
      </c>
      <c r="JR37" s="366">
        <f t="shared" si="158"/>
        <v>19.845233611746263</v>
      </c>
      <c r="JS37" s="367">
        <f t="shared" si="42"/>
        <v>20.889719591311856</v>
      </c>
      <c r="JT37" s="363">
        <f t="shared" si="159"/>
        <v>20.268642509157509</v>
      </c>
      <c r="JU37" s="362">
        <f t="shared" si="43"/>
        <v>21.33541316753422</v>
      </c>
    </row>
    <row r="38" spans="1:283">
      <c r="A38" s="259">
        <f>'1 StrategyMix for CarbonTargets'!V38</f>
        <v>0.9</v>
      </c>
      <c r="B38" s="247"/>
      <c r="C38" s="247"/>
      <c r="D38" s="247"/>
      <c r="E38" s="247"/>
      <c r="F38" s="247"/>
      <c r="G38" s="235">
        <v>0.1</v>
      </c>
      <c r="H38" s="64">
        <f>$B78*(1-H$3-H$16-H$19-H$22-H$25-H$31-H$32-H$33)</f>
        <v>3.8904494608695613E-2</v>
      </c>
      <c r="I38" s="64">
        <f>$B78*(1-I$3-I$16-I$19-I$22-I$25-I$31-I$32-I$33)</f>
        <v>3.8963939652173894E-2</v>
      </c>
      <c r="J38" s="64">
        <f>$B78*(1-J$3-J$16-J$19-J$22-J$25-J$31-J$32-J$33)</f>
        <v>3.8794749913043457E-2</v>
      </c>
      <c r="K38" s="64"/>
      <c r="M38" s="235">
        <v>0.1</v>
      </c>
      <c r="N38" s="235"/>
      <c r="O38" s="64">
        <f>$B101*(1-H$3-H$16-H$19-H$22-H$25-H$31-H$32-H$33)</f>
        <v>1.988800486956524E-2</v>
      </c>
      <c r="P38" s="64">
        <f>$B101*(1-I$3-I$16-I$19-I$22-I$25-I$31-I$32-I$33)</f>
        <v>1.9918393217391337E-2</v>
      </c>
      <c r="Q38" s="64">
        <f>$B101*(1-J$3-J$16-J$19-J$22-J$25-J$31-J$32-J$33)</f>
        <v>1.9831903304347857E-2</v>
      </c>
      <c r="AO38" s="89">
        <v>2048</v>
      </c>
      <c r="AP38" s="170">
        <f t="shared" si="160"/>
        <v>-2.6879999999999994E-2</v>
      </c>
      <c r="AQ38" s="170">
        <f t="shared" si="160"/>
        <v>-6.500000000000004E-3</v>
      </c>
      <c r="AR38" s="170">
        <f t="shared" si="160"/>
        <v>-2.0769230769230766E-2</v>
      </c>
      <c r="AS38" s="170">
        <f t="shared" si="160"/>
        <v>-6.1071428571428554E-2</v>
      </c>
      <c r="AU38" s="170">
        <f t="shared" si="161"/>
        <v>-4.700729927007298E-2</v>
      </c>
      <c r="AV38" s="170">
        <f t="shared" si="162"/>
        <v>-9.7420924574209311E-2</v>
      </c>
      <c r="AW38" s="170">
        <f t="shared" si="163"/>
        <v>-0.22890510948905121</v>
      </c>
      <c r="AY38" s="170">
        <f t="shared" si="164"/>
        <v>-8.4839999999999971E-2</v>
      </c>
      <c r="AZ38" s="278">
        <f t="shared" si="165"/>
        <v>8.4839999999999968E-3</v>
      </c>
      <c r="BA38" s="284">
        <f t="shared" si="166"/>
        <v>-3.7530560139130413E-2</v>
      </c>
      <c r="BB38" s="276">
        <f t="shared" si="167"/>
        <v>-3.8794749913043457E-2</v>
      </c>
      <c r="BC38" s="277">
        <f t="shared" si="168"/>
        <v>-3.7530560139130413E-2</v>
      </c>
      <c r="BD38" s="278">
        <f t="shared" si="169"/>
        <v>8.4839999999999968E-3</v>
      </c>
      <c r="BE38" s="284">
        <f t="shared" si="170"/>
        <v>-3.7530560139130455E-2</v>
      </c>
      <c r="BF38" s="276">
        <f t="shared" si="171"/>
        <v>-3.8794749913043457E-2</v>
      </c>
      <c r="BG38" s="277">
        <f t="shared" si="9"/>
        <v>-3.7530560139130455E-2</v>
      </c>
      <c r="BH38" s="278">
        <f t="shared" si="172"/>
        <v>1.6967999999999994E-2</v>
      </c>
      <c r="BI38" s="284">
        <f t="shared" si="173"/>
        <v>-7.5061120278260895E-2</v>
      </c>
      <c r="BJ38" s="276">
        <f t="shared" si="174"/>
        <v>-7.7589499826087024E-2</v>
      </c>
      <c r="BK38" s="277">
        <f t="shared" si="10"/>
        <v>-7.5061120278260895E-2</v>
      </c>
      <c r="BL38" s="278">
        <f t="shared" si="175"/>
        <v>1.6967999999999994E-2</v>
      </c>
      <c r="BM38" s="284">
        <f t="shared" si="176"/>
        <v>-7.5061120278260854E-2</v>
      </c>
      <c r="BN38" s="276">
        <f t="shared" si="177"/>
        <v>-7.7589499826086886E-2</v>
      </c>
      <c r="BO38" s="277">
        <f t="shared" si="11"/>
        <v>-7.5061120278260854E-2</v>
      </c>
      <c r="BP38" s="278">
        <f t="shared" si="178"/>
        <v>1.6967999999999994E-2</v>
      </c>
      <c r="BQ38" s="284">
        <f t="shared" si="179"/>
        <v>-7.5061120278260909E-2</v>
      </c>
      <c r="BR38" s="276">
        <f t="shared" si="180"/>
        <v>-7.7589499826086997E-2</v>
      </c>
      <c r="BS38" s="277">
        <f t="shared" si="12"/>
        <v>-7.5061120278260909E-2</v>
      </c>
      <c r="BT38" s="278">
        <f t="shared" si="181"/>
        <v>1.6967999999999994E-2</v>
      </c>
      <c r="BU38" s="284">
        <f t="shared" si="182"/>
        <v>-7.5061120278260854E-2</v>
      </c>
      <c r="BV38" s="276">
        <f t="shared" si="183"/>
        <v>-7.7589499826086941E-2</v>
      </c>
      <c r="BW38" s="278">
        <f t="shared" si="13"/>
        <v>-7.5061120278260854E-2</v>
      </c>
      <c r="BX38" s="391">
        <f t="shared" si="44"/>
        <v>-1.6968E-2</v>
      </c>
      <c r="BY38" s="388">
        <f t="shared" si="45"/>
        <v>-0.30024448111304353</v>
      </c>
      <c r="BZ38" s="409">
        <f t="shared" si="184"/>
        <v>0.79999999999999971</v>
      </c>
      <c r="CB38" s="279">
        <f t="shared" si="185"/>
        <v>-0.57339399267399283</v>
      </c>
      <c r="CC38" s="64">
        <f t="shared" si="15"/>
        <v>-0.60244055281312314</v>
      </c>
      <c r="CD38" s="64">
        <f t="shared" si="16"/>
        <v>-0.63148711295225357</v>
      </c>
      <c r="CE38" s="64">
        <f t="shared" si="17"/>
        <v>-0.68958023323051454</v>
      </c>
      <c r="CF38" s="64">
        <f t="shared" si="18"/>
        <v>-0.7476733535087754</v>
      </c>
      <c r="CG38" s="64">
        <f t="shared" si="19"/>
        <v>-0.80576647378703636</v>
      </c>
      <c r="CH38" s="64">
        <f t="shared" si="20"/>
        <v>-0.86385959406529722</v>
      </c>
      <c r="CI38">
        <v>2048</v>
      </c>
      <c r="CJ38" s="240"/>
      <c r="CL38">
        <v>2048</v>
      </c>
      <c r="CM38" s="3">
        <f t="shared" si="46"/>
        <v>0.95</v>
      </c>
      <c r="CN38" s="64">
        <f t="shared" si="21"/>
        <v>0.92311999999999994</v>
      </c>
      <c r="CO38" s="64">
        <f t="shared" si="21"/>
        <v>0.91661999999999999</v>
      </c>
      <c r="CP38" s="64">
        <f t="shared" si="21"/>
        <v>0.89585076923076923</v>
      </c>
      <c r="CQ38" s="64">
        <f t="shared" si="21"/>
        <v>0.83477934065934067</v>
      </c>
      <c r="CR38" s="64">
        <f t="shared" si="22"/>
        <v>0.78777204138926771</v>
      </c>
      <c r="CS38" s="64">
        <f t="shared" si="22"/>
        <v>0.69035111681505845</v>
      </c>
      <c r="CT38" s="64">
        <f t="shared" si="22"/>
        <v>0.46144600732600727</v>
      </c>
      <c r="CU38" s="64">
        <f t="shared" si="23"/>
        <v>0.3766060073260073</v>
      </c>
      <c r="CV38" s="64">
        <f t="shared" si="23"/>
        <v>0.38509000732600729</v>
      </c>
      <c r="CW38" s="65">
        <f t="shared" si="47"/>
        <v>0.34755944718687687</v>
      </c>
      <c r="CX38" s="64">
        <f t="shared" si="48"/>
        <v>0.39357400732600728</v>
      </c>
      <c r="CY38" s="65">
        <f t="shared" si="49"/>
        <v>0.31851288704774638</v>
      </c>
      <c r="CZ38" s="64">
        <f t="shared" si="50"/>
        <v>0.41054200732600726</v>
      </c>
      <c r="DA38" s="65">
        <f t="shared" si="51"/>
        <v>0.26041976676948547</v>
      </c>
      <c r="DB38" s="64">
        <f t="shared" si="52"/>
        <v>0.42751000732600725</v>
      </c>
      <c r="DC38" s="65">
        <f t="shared" si="53"/>
        <v>0.20232664649122462</v>
      </c>
      <c r="DD38" s="64">
        <f t="shared" si="54"/>
        <v>0.44447800732600723</v>
      </c>
      <c r="DE38" s="65">
        <f t="shared" si="55"/>
        <v>0.1442335262129637</v>
      </c>
      <c r="DF38" s="64">
        <f t="shared" si="56"/>
        <v>0.46144600732600721</v>
      </c>
      <c r="DG38" s="65">
        <f t="shared" si="57"/>
        <v>8.6140405934702832E-2</v>
      </c>
      <c r="DL38">
        <v>2048</v>
      </c>
      <c r="DM38" s="64">
        <f t="shared" si="58"/>
        <v>8.6140405934702832E-2</v>
      </c>
      <c r="DN38" s="64">
        <f t="shared" si="59"/>
        <v>0.1442335262129637</v>
      </c>
      <c r="DO38" s="64">
        <f t="shared" si="60"/>
        <v>0.20232664649122462</v>
      </c>
      <c r="DP38" s="64">
        <f t="shared" si="61"/>
        <v>0.26041976676948547</v>
      </c>
      <c r="DQ38" s="64">
        <f t="shared" si="62"/>
        <v>0.31851288704774638</v>
      </c>
      <c r="DR38" s="64">
        <f t="shared" si="63"/>
        <v>0.34755944718687687</v>
      </c>
      <c r="DS38" s="64">
        <f t="shared" si="24"/>
        <v>0.3766060073260073</v>
      </c>
      <c r="DT38" s="64">
        <f t="shared" si="25"/>
        <v>0.46144600732600727</v>
      </c>
      <c r="DU38" s="64">
        <f t="shared" si="26"/>
        <v>0.69035111681505845</v>
      </c>
      <c r="DV38" s="64">
        <f t="shared" si="27"/>
        <v>0.78777204138926771</v>
      </c>
      <c r="DW38" s="64">
        <f t="shared" si="28"/>
        <v>0.83477934065934067</v>
      </c>
      <c r="DX38" s="64">
        <f t="shared" si="29"/>
        <v>0.89585076923076923</v>
      </c>
      <c r="DY38" s="64">
        <f t="shared" si="30"/>
        <v>0.91661999999999999</v>
      </c>
      <c r="DZ38" s="64">
        <f t="shared" si="31"/>
        <v>0.92311999999999994</v>
      </c>
      <c r="EA38" s="3">
        <f t="shared" si="64"/>
        <v>0.95</v>
      </c>
      <c r="EB38">
        <v>2048</v>
      </c>
      <c r="EC38" s="269">
        <f t="shared" si="65"/>
        <v>8.6140405934702846E-2</v>
      </c>
      <c r="ED38" s="269">
        <f t="shared" si="66"/>
        <v>0.05</v>
      </c>
      <c r="EE38" s="64">
        <f t="shared" si="186"/>
        <v>5.8093120278260871E-2</v>
      </c>
      <c r="EF38" s="64">
        <f t="shared" si="186"/>
        <v>5.8093120278260912E-2</v>
      </c>
      <c r="EG38" s="64">
        <f t="shared" si="186"/>
        <v>5.8093120278260857E-2</v>
      </c>
      <c r="EH38" s="64">
        <f t="shared" si="186"/>
        <v>5.8093120278260912E-2</v>
      </c>
      <c r="EI38" s="64">
        <f t="shared" si="186"/>
        <v>2.9046560139130484E-2</v>
      </c>
      <c r="EJ38" s="64">
        <f t="shared" si="186"/>
        <v>2.9046560139130428E-2</v>
      </c>
      <c r="EK38" s="64">
        <f t="shared" si="186"/>
        <v>8.4839999999999971E-2</v>
      </c>
      <c r="EL38" s="64">
        <f t="shared" si="186"/>
        <v>0.22890510948905118</v>
      </c>
      <c r="EM38" s="64">
        <f t="shared" si="186"/>
        <v>9.7420924574209256E-2</v>
      </c>
      <c r="EN38" s="64">
        <f t="shared" si="186"/>
        <v>4.7007299270072966E-2</v>
      </c>
      <c r="EO38" s="64">
        <f t="shared" si="186"/>
        <v>6.1071428571428554E-2</v>
      </c>
      <c r="EP38" s="64">
        <f t="shared" si="186"/>
        <v>2.0769230769230762E-2</v>
      </c>
      <c r="EQ38" s="64">
        <f t="shared" si="186"/>
        <v>6.4999999999999503E-3</v>
      </c>
      <c r="ER38" s="64">
        <f t="shared" si="186"/>
        <v>2.6880000000000015E-2</v>
      </c>
      <c r="EX38" s="89">
        <v>2048</v>
      </c>
      <c r="EY38" s="278">
        <f t="shared" si="67"/>
        <v>1.1366666666666667</v>
      </c>
      <c r="EZ38" s="278"/>
      <c r="FA38" s="278">
        <f t="shared" si="68"/>
        <v>0.11155328170918088</v>
      </c>
      <c r="FB38" s="278">
        <f t="shared" si="33"/>
        <v>0.05</v>
      </c>
      <c r="FC38" s="64">
        <f t="shared" si="69"/>
        <v>0.44536264698434791</v>
      </c>
      <c r="FD38" s="64">
        <f t="shared" si="70"/>
        <v>8.234154099303245E-18</v>
      </c>
      <c r="FE38" s="64">
        <f t="shared" si="71"/>
        <v>0.27163406326034079</v>
      </c>
      <c r="FF38" s="64">
        <f t="shared" si="72"/>
        <v>0.11560616382806166</v>
      </c>
      <c r="FG38" s="64">
        <f t="shared" si="73"/>
        <v>5.5781995133819921E-2</v>
      </c>
      <c r="FH38" s="64">
        <f t="shared" si="74"/>
        <v>7.2471428571428562E-2</v>
      </c>
      <c r="FI38" s="64">
        <f t="shared" si="75"/>
        <v>2.4646153846153838E-2</v>
      </c>
      <c r="FJ38" s="64">
        <f t="shared" si="76"/>
        <v>7.7133333333332752E-3</v>
      </c>
      <c r="FK38" s="280">
        <f t="shared" si="77"/>
        <v>3.1897600000000019E-2</v>
      </c>
      <c r="FL38" s="64"/>
      <c r="FM38" s="89">
        <v>2048</v>
      </c>
      <c r="FN38" s="278">
        <f t="shared" si="78"/>
        <v>1.1366666666666667</v>
      </c>
      <c r="FP38" s="278">
        <f t="shared" si="79"/>
        <v>0.18049045110605044</v>
      </c>
      <c r="FQ38" s="278">
        <f t="shared" si="80"/>
        <v>0.05</v>
      </c>
      <c r="FR38" s="64">
        <f t="shared" si="81"/>
        <v>0.35629011758747836</v>
      </c>
      <c r="FS38" s="64">
        <f t="shared" si="82"/>
        <v>2.0135360000000001E-2</v>
      </c>
      <c r="FT38" s="64">
        <f t="shared" si="83"/>
        <v>0.27163406326034079</v>
      </c>
      <c r="FU38" s="64">
        <f t="shared" si="84"/>
        <v>0.11560616382806166</v>
      </c>
      <c r="FV38" s="64">
        <f t="shared" si="85"/>
        <v>5.5781995133819921E-2</v>
      </c>
      <c r="FW38" s="64">
        <f t="shared" si="86"/>
        <v>7.2471428571428562E-2</v>
      </c>
      <c r="FX38" s="64">
        <f t="shared" si="87"/>
        <v>2.4646153846153838E-2</v>
      </c>
      <c r="FY38" s="64">
        <f t="shared" si="88"/>
        <v>7.7133333333332752E-3</v>
      </c>
      <c r="FZ38" s="280">
        <f t="shared" si="89"/>
        <v>3.1897600000000019E-2</v>
      </c>
      <c r="GA38" s="64"/>
      <c r="GB38" s="89">
        <v>2048</v>
      </c>
      <c r="GC38" s="278">
        <f t="shared" si="90"/>
        <v>1.1366666666666667</v>
      </c>
      <c r="GE38" s="278">
        <f t="shared" si="91"/>
        <v>0.24942762050292011</v>
      </c>
      <c r="GF38" s="278">
        <f t="shared" si="92"/>
        <v>0.05</v>
      </c>
      <c r="GG38" s="64">
        <f t="shared" si="93"/>
        <v>0.26721758819060876</v>
      </c>
      <c r="GH38" s="64">
        <f t="shared" si="94"/>
        <v>4.0270719999999996E-2</v>
      </c>
      <c r="GI38" s="64">
        <f t="shared" si="95"/>
        <v>0.27163406326034079</v>
      </c>
      <c r="GJ38" s="64">
        <f t="shared" si="96"/>
        <v>0.11560616382806166</v>
      </c>
      <c r="GK38" s="64">
        <f t="shared" si="97"/>
        <v>5.5781995133819921E-2</v>
      </c>
      <c r="GL38" s="64">
        <f t="shared" si="98"/>
        <v>7.2471428571428562E-2</v>
      </c>
      <c r="GM38" s="64">
        <f t="shared" si="99"/>
        <v>2.4646153846153838E-2</v>
      </c>
      <c r="GN38" s="64">
        <f t="shared" si="100"/>
        <v>7.7133333333332752E-3</v>
      </c>
      <c r="GO38" s="280">
        <f t="shared" si="101"/>
        <v>3.1897600000000019E-2</v>
      </c>
      <c r="GP38" s="64"/>
      <c r="GQ38" s="89">
        <v>2048</v>
      </c>
      <c r="GR38" s="278">
        <f t="shared" si="102"/>
        <v>1.1366666666666667</v>
      </c>
      <c r="GT38" s="278">
        <f t="shared" si="103"/>
        <v>0.31836478989978956</v>
      </c>
      <c r="GU38" s="278">
        <f t="shared" si="104"/>
        <v>0.05</v>
      </c>
      <c r="GV38" s="64">
        <f t="shared" si="105"/>
        <v>0.17814505879373918</v>
      </c>
      <c r="GW38" s="64">
        <f t="shared" si="106"/>
        <v>6.0406079999999994E-2</v>
      </c>
      <c r="GX38" s="64">
        <f t="shared" si="107"/>
        <v>0.27163406326034079</v>
      </c>
      <c r="GY38" s="64">
        <f t="shared" si="108"/>
        <v>0.11560616382806166</v>
      </c>
      <c r="GZ38" s="64">
        <f t="shared" si="109"/>
        <v>5.5781995133819921E-2</v>
      </c>
      <c r="HA38" s="64">
        <f t="shared" si="110"/>
        <v>7.2471428571428562E-2</v>
      </c>
      <c r="HB38" s="64">
        <f t="shared" si="111"/>
        <v>2.4646153846153838E-2</v>
      </c>
      <c r="HC38" s="64">
        <f t="shared" si="112"/>
        <v>7.7133333333332752E-3</v>
      </c>
      <c r="HD38" s="280">
        <f t="shared" si="113"/>
        <v>3.1897600000000019E-2</v>
      </c>
      <c r="HE38" s="64"/>
      <c r="HF38" s="89">
        <v>2048</v>
      </c>
      <c r="HG38" s="278">
        <f t="shared" si="114"/>
        <v>1.1366666666666667</v>
      </c>
      <c r="HI38" s="278">
        <f t="shared" si="115"/>
        <v>0.38730195929665923</v>
      </c>
      <c r="HJ38" s="278">
        <f t="shared" si="116"/>
        <v>0.05</v>
      </c>
      <c r="HK38" s="64">
        <f t="shared" si="117"/>
        <v>8.9072529396869576E-2</v>
      </c>
      <c r="HL38" s="64">
        <f t="shared" si="118"/>
        <v>8.0541439999999992E-2</v>
      </c>
      <c r="HM38" s="64">
        <f t="shared" si="119"/>
        <v>0.27163406326034079</v>
      </c>
      <c r="HN38" s="64">
        <f t="shared" si="120"/>
        <v>0.11560616382806166</v>
      </c>
      <c r="HO38" s="64">
        <f t="shared" si="121"/>
        <v>5.5781995133819921E-2</v>
      </c>
      <c r="HP38" s="64">
        <f t="shared" si="122"/>
        <v>7.2471428571428562E-2</v>
      </c>
      <c r="HQ38" s="64">
        <f t="shared" si="123"/>
        <v>2.4646153846153838E-2</v>
      </c>
      <c r="HR38" s="64">
        <f t="shared" si="124"/>
        <v>7.7133333333332752E-3</v>
      </c>
      <c r="HS38" s="280">
        <f t="shared" si="125"/>
        <v>3.1897600000000019E-2</v>
      </c>
      <c r="HT38" s="64"/>
      <c r="HU38" s="89">
        <v>2048</v>
      </c>
      <c r="HV38" s="278">
        <f t="shared" si="126"/>
        <v>1.1366666666666667</v>
      </c>
      <c r="HX38" s="278">
        <f t="shared" si="127"/>
        <v>0.42177054399509406</v>
      </c>
      <c r="HY38" s="278">
        <f t="shared" si="128"/>
        <v>0.05</v>
      </c>
      <c r="HZ38" s="64">
        <f t="shared" si="129"/>
        <v>4.453626469843476E-2</v>
      </c>
      <c r="IA38" s="64">
        <f t="shared" si="130"/>
        <v>9.0609119999999987E-2</v>
      </c>
      <c r="IB38" s="64">
        <f t="shared" si="131"/>
        <v>0.27163406326034079</v>
      </c>
      <c r="IC38" s="64">
        <f t="shared" si="132"/>
        <v>0.11560616382806166</v>
      </c>
      <c r="ID38" s="64">
        <f t="shared" si="133"/>
        <v>5.5781995133819921E-2</v>
      </c>
      <c r="IE38" s="64">
        <f t="shared" si="134"/>
        <v>7.2471428571428562E-2</v>
      </c>
      <c r="IF38" s="64">
        <f t="shared" si="135"/>
        <v>2.4646153846153838E-2</v>
      </c>
      <c r="IG38" s="64">
        <f t="shared" si="136"/>
        <v>7.7133333333332752E-3</v>
      </c>
      <c r="IH38" s="280">
        <f t="shared" si="137"/>
        <v>3.1897600000000019E-2</v>
      </c>
      <c r="II38" s="64"/>
      <c r="IJ38" s="89">
        <v>2048</v>
      </c>
      <c r="IK38" s="278">
        <f t="shared" si="138"/>
        <v>1.1366666666666667</v>
      </c>
      <c r="IM38" s="278">
        <f t="shared" si="139"/>
        <v>0.45623912869352878</v>
      </c>
      <c r="IN38" s="278">
        <f t="shared" si="140"/>
        <v>0.05</v>
      </c>
      <c r="IO38" s="64">
        <v>0</v>
      </c>
      <c r="IP38" s="64">
        <f t="shared" si="141"/>
        <v>0.10067679999999997</v>
      </c>
      <c r="IQ38" s="64">
        <f t="shared" si="142"/>
        <v>0.27163406326034079</v>
      </c>
      <c r="IR38" s="64">
        <f t="shared" si="143"/>
        <v>0.11560616382806166</v>
      </c>
      <c r="IS38" s="64">
        <f t="shared" si="144"/>
        <v>5.5781995133819921E-2</v>
      </c>
      <c r="IT38" s="64">
        <f t="shared" si="145"/>
        <v>7.2471428571428562E-2</v>
      </c>
      <c r="IU38" s="64">
        <f t="shared" si="146"/>
        <v>2.4646153846153838E-2</v>
      </c>
      <c r="IV38" s="64">
        <f t="shared" si="147"/>
        <v>7.7133333333332752E-3</v>
      </c>
      <c r="IW38" s="280">
        <f t="shared" si="148"/>
        <v>3.1897600000000019E-2</v>
      </c>
      <c r="IX38" s="64"/>
      <c r="IY38" s="3">
        <f t="shared" si="149"/>
        <v>0.13499999999999979</v>
      </c>
      <c r="IZ38">
        <f t="shared" si="34"/>
        <v>2048</v>
      </c>
      <c r="JA38" s="3">
        <f t="shared" si="150"/>
        <v>20.724881637851038</v>
      </c>
      <c r="JB38" s="353">
        <f>HLOOKUP('1 StrategyMix for CarbonTargets'!$V$46,'Stress calculations'!JI$8:JU$39,31,FALSE)</f>
        <v>17.927049706287988</v>
      </c>
      <c r="JC38" s="3">
        <f t="shared" si="151"/>
        <v>30.256666666666664</v>
      </c>
      <c r="JD38" s="353">
        <f t="shared" si="152"/>
        <v>31.849122807017544</v>
      </c>
      <c r="JE38" s="418">
        <f t="shared" si="35"/>
        <v>0.13500000000000015</v>
      </c>
      <c r="JF38" s="368">
        <f t="shared" si="153"/>
        <v>12.807499999999996</v>
      </c>
      <c r="JG38" s="369">
        <f t="shared" si="154"/>
        <v>13.481578947368417</v>
      </c>
      <c r="JH38" s="363">
        <f t="shared" si="155"/>
        <v>16.104554070087552</v>
      </c>
      <c r="JI38" s="362">
        <f t="shared" si="36"/>
        <v>16.952162179039529</v>
      </c>
      <c r="JJ38" s="366">
        <f t="shared" si="37"/>
        <v>17.03069722097359</v>
      </c>
      <c r="JK38" s="367">
        <f t="shared" si="8"/>
        <v>17.927049706287988</v>
      </c>
      <c r="JL38" s="363">
        <f t="shared" si="38"/>
        <v>17.95684037185962</v>
      </c>
      <c r="JM38" s="362">
        <f t="shared" si="39"/>
        <v>18.901937233536444</v>
      </c>
      <c r="JN38" s="366">
        <f t="shared" si="156"/>
        <v>18.88298352274564</v>
      </c>
      <c r="JO38" s="367">
        <f t="shared" si="40"/>
        <v>19.876824760784885</v>
      </c>
      <c r="JP38" s="363">
        <f t="shared" si="157"/>
        <v>19.809126673631674</v>
      </c>
      <c r="JQ38" s="362">
        <f t="shared" si="41"/>
        <v>20.85171228803334</v>
      </c>
      <c r="JR38" s="366">
        <f t="shared" si="158"/>
        <v>20.267004155741358</v>
      </c>
      <c r="JS38" s="367">
        <f t="shared" si="42"/>
        <v>21.333688584990902</v>
      </c>
      <c r="JT38" s="363">
        <f t="shared" si="159"/>
        <v>20.724881637851038</v>
      </c>
      <c r="JU38" s="362">
        <f t="shared" si="43"/>
        <v>21.815664881948461</v>
      </c>
    </row>
    <row r="39" spans="1:283">
      <c r="A39" s="689" t="s">
        <v>176</v>
      </c>
      <c r="B39" s="689"/>
      <c r="C39" s="689"/>
      <c r="D39" s="689"/>
      <c r="E39" s="689"/>
      <c r="F39" s="689"/>
      <c r="G39" s="235">
        <v>0.2</v>
      </c>
      <c r="H39" s="64">
        <f>$C78*(1-H$3-H$16-H$19-H$22-H$25-H$31-H$32-H$33)</f>
        <v>7.7808989217391225E-2</v>
      </c>
      <c r="I39" s="64">
        <f>$C78*(1-I$3-I$16-I$19-I$22-I$25-I$31-I$32-I$33)</f>
        <v>7.7927879304347789E-2</v>
      </c>
      <c r="J39" s="64">
        <f>$C78*(1-J$3-J$16-J$19-J$22-J$25-J$31-J$32-J$33)</f>
        <v>7.7589499826086913E-2</v>
      </c>
      <c r="K39" s="64"/>
      <c r="M39" s="235">
        <v>0.2</v>
      </c>
      <c r="N39" s="235"/>
      <c r="O39" s="64">
        <f>$C101*(1-H$3-H$16-H$19-H$22-H$25-H$31-H$32-H$33)</f>
        <v>3.977600973913039E-2</v>
      </c>
      <c r="P39" s="64">
        <f>$C101*(1-I$3-I$16-I$19-I$22-I$25-I$31-I$32-I$33)</f>
        <v>3.9836786434782584E-2</v>
      </c>
      <c r="Q39" s="64">
        <f>$C101*(1-J$3-J$16-J$19-J$22-J$25-J$31-J$32-J$33)</f>
        <v>3.9663806608695625E-2</v>
      </c>
      <c r="AO39" s="89">
        <v>2049</v>
      </c>
      <c r="AP39" s="170">
        <f t="shared" si="160"/>
        <v>-2.7839999999999993E-2</v>
      </c>
      <c r="AQ39" s="170">
        <f t="shared" si="160"/>
        <v>-6.7500000000000043E-3</v>
      </c>
      <c r="AR39" s="170">
        <f t="shared" si="160"/>
        <v>-2.1634615384615381E-2</v>
      </c>
      <c r="AS39" s="170">
        <f t="shared" si="160"/>
        <v>-6.4285714285714265E-2</v>
      </c>
      <c r="AU39" s="170">
        <f t="shared" si="161"/>
        <v>-4.86861313868613E-2</v>
      </c>
      <c r="AV39" s="170">
        <f t="shared" si="162"/>
        <v>-0.1009002433090025</v>
      </c>
      <c r="AW39" s="170">
        <f t="shared" si="163"/>
        <v>-0.23708029197080305</v>
      </c>
      <c r="AY39" s="170">
        <f t="shared" si="164"/>
        <v>-8.4839999999999971E-2</v>
      </c>
      <c r="AZ39" s="278">
        <f t="shared" si="165"/>
        <v>8.4839999999999968E-3</v>
      </c>
      <c r="BA39" s="284">
        <f t="shared" si="166"/>
        <v>-3.8162655026086935E-2</v>
      </c>
      <c r="BB39" s="276">
        <f t="shared" si="167"/>
        <v>-3.8794749913043457E-2</v>
      </c>
      <c r="BC39" s="277">
        <f t="shared" si="168"/>
        <v>-3.8162655026086935E-2</v>
      </c>
      <c r="BD39" s="278">
        <f t="shared" si="169"/>
        <v>8.4839999999999968E-3</v>
      </c>
      <c r="BE39" s="284">
        <f t="shared" si="170"/>
        <v>-3.8162655026086977E-2</v>
      </c>
      <c r="BF39" s="276">
        <f t="shared" si="171"/>
        <v>-3.8794749913043457E-2</v>
      </c>
      <c r="BG39" s="277">
        <f t="shared" si="9"/>
        <v>-3.8162655026086977E-2</v>
      </c>
      <c r="BH39" s="278">
        <f t="shared" si="172"/>
        <v>1.6967999999999994E-2</v>
      </c>
      <c r="BI39" s="284">
        <f t="shared" si="173"/>
        <v>-7.6325310052173939E-2</v>
      </c>
      <c r="BJ39" s="276">
        <f t="shared" si="174"/>
        <v>-7.7589499826087024E-2</v>
      </c>
      <c r="BK39" s="277">
        <f t="shared" si="10"/>
        <v>-7.6325310052173939E-2</v>
      </c>
      <c r="BL39" s="278">
        <f t="shared" si="175"/>
        <v>1.6967999999999994E-2</v>
      </c>
      <c r="BM39" s="284">
        <f t="shared" si="176"/>
        <v>-7.6325310052173898E-2</v>
      </c>
      <c r="BN39" s="276">
        <f t="shared" si="177"/>
        <v>-7.7589499826086886E-2</v>
      </c>
      <c r="BO39" s="277">
        <f t="shared" si="11"/>
        <v>-7.6325310052173898E-2</v>
      </c>
      <c r="BP39" s="278">
        <f t="shared" si="178"/>
        <v>1.6967999999999994E-2</v>
      </c>
      <c r="BQ39" s="284">
        <f t="shared" si="179"/>
        <v>-7.6325310052173953E-2</v>
      </c>
      <c r="BR39" s="276">
        <f t="shared" si="180"/>
        <v>-7.7589499826086997E-2</v>
      </c>
      <c r="BS39" s="277">
        <f t="shared" si="12"/>
        <v>-7.6325310052173953E-2</v>
      </c>
      <c r="BT39" s="278">
        <f t="shared" si="181"/>
        <v>1.6967999999999994E-2</v>
      </c>
      <c r="BU39" s="284">
        <f t="shared" si="182"/>
        <v>-7.6325310052173898E-2</v>
      </c>
      <c r="BV39" s="276">
        <f t="shared" si="183"/>
        <v>-7.7589499826086941E-2</v>
      </c>
      <c r="BW39" s="278">
        <f t="shared" si="13"/>
        <v>-7.6325310052173898E-2</v>
      </c>
      <c r="BX39" s="391">
        <f t="shared" si="44"/>
        <v>-1.6968E-2</v>
      </c>
      <c r="BY39" s="388">
        <f t="shared" si="45"/>
        <v>-0.3053012402086957</v>
      </c>
      <c r="BZ39" s="409">
        <f t="shared" si="184"/>
        <v>0.79999999999999971</v>
      </c>
      <c r="CB39" s="279">
        <f t="shared" si="185"/>
        <v>-0.59201699633699656</v>
      </c>
      <c r="CC39" s="64">
        <f t="shared" si="15"/>
        <v>-0.62169565136308347</v>
      </c>
      <c r="CD39" s="64">
        <f t="shared" si="16"/>
        <v>-0.65137430638917038</v>
      </c>
      <c r="CE39" s="64">
        <f t="shared" si="17"/>
        <v>-0.7107316164413443</v>
      </c>
      <c r="CF39" s="64">
        <f t="shared" si="18"/>
        <v>-0.77008892649351823</v>
      </c>
      <c r="CG39" s="64">
        <f t="shared" si="19"/>
        <v>-0.82944623654569216</v>
      </c>
      <c r="CH39" s="64">
        <f t="shared" si="20"/>
        <v>-0.88880354659786609</v>
      </c>
      <c r="CI39">
        <v>2049</v>
      </c>
      <c r="CJ39" s="240"/>
      <c r="CL39">
        <v>2049</v>
      </c>
      <c r="CM39" s="3">
        <f t="shared" si="46"/>
        <v>0.95</v>
      </c>
      <c r="CN39" s="64">
        <f t="shared" si="21"/>
        <v>0.92215999999999998</v>
      </c>
      <c r="CO39" s="64">
        <f t="shared" si="21"/>
        <v>0.91540999999999995</v>
      </c>
      <c r="CP39" s="64">
        <f t="shared" si="21"/>
        <v>0.89377538461538453</v>
      </c>
      <c r="CQ39" s="64">
        <f t="shared" si="21"/>
        <v>0.82948967032967025</v>
      </c>
      <c r="CR39" s="64">
        <f t="shared" si="22"/>
        <v>0.78080353894280896</v>
      </c>
      <c r="CS39" s="64">
        <f t="shared" si="22"/>
        <v>0.67990329563380647</v>
      </c>
      <c r="CT39" s="64">
        <f t="shared" si="22"/>
        <v>0.44282300366300342</v>
      </c>
      <c r="CU39" s="64">
        <f t="shared" si="23"/>
        <v>0.35798300366300345</v>
      </c>
      <c r="CV39" s="64">
        <f t="shared" si="23"/>
        <v>0.36646700366300344</v>
      </c>
      <c r="CW39" s="65">
        <f t="shared" si="47"/>
        <v>0.32830434863691649</v>
      </c>
      <c r="CX39" s="64">
        <f t="shared" si="48"/>
        <v>0.37495100366300343</v>
      </c>
      <c r="CY39" s="65">
        <f t="shared" si="49"/>
        <v>0.29862569361082952</v>
      </c>
      <c r="CZ39" s="64">
        <f t="shared" si="50"/>
        <v>0.39191900366300342</v>
      </c>
      <c r="DA39" s="65">
        <f t="shared" si="51"/>
        <v>0.23926838355865557</v>
      </c>
      <c r="DB39" s="64">
        <f t="shared" si="52"/>
        <v>0.4088870036630034</v>
      </c>
      <c r="DC39" s="65">
        <f t="shared" si="53"/>
        <v>0.17991107350648161</v>
      </c>
      <c r="DD39" s="64">
        <f t="shared" si="54"/>
        <v>0.42585500366300338</v>
      </c>
      <c r="DE39" s="65">
        <f t="shared" si="55"/>
        <v>0.12055376345430764</v>
      </c>
      <c r="DF39" s="64">
        <f t="shared" si="56"/>
        <v>0.44282300366300337</v>
      </c>
      <c r="DG39" s="65">
        <f t="shared" si="57"/>
        <v>6.1196453402133713E-2</v>
      </c>
      <c r="DL39">
        <v>2049</v>
      </c>
      <c r="DM39" s="64">
        <f t="shared" si="58"/>
        <v>6.1196453402133713E-2</v>
      </c>
      <c r="DN39" s="64">
        <f t="shared" si="59"/>
        <v>0.12055376345430764</v>
      </c>
      <c r="DO39" s="64">
        <f t="shared" si="60"/>
        <v>0.17991107350648161</v>
      </c>
      <c r="DP39" s="64">
        <f t="shared" si="61"/>
        <v>0.23926838355865557</v>
      </c>
      <c r="DQ39" s="64">
        <f t="shared" si="62"/>
        <v>0.29862569361082952</v>
      </c>
      <c r="DR39" s="64">
        <f t="shared" si="63"/>
        <v>0.32830434863691649</v>
      </c>
      <c r="DS39" s="64">
        <f t="shared" si="24"/>
        <v>0.35798300366300345</v>
      </c>
      <c r="DT39" s="64">
        <f t="shared" si="25"/>
        <v>0.44282300366300342</v>
      </c>
      <c r="DU39" s="64">
        <f t="shared" si="26"/>
        <v>0.67990329563380647</v>
      </c>
      <c r="DV39" s="64">
        <f t="shared" si="27"/>
        <v>0.78080353894280896</v>
      </c>
      <c r="DW39" s="64">
        <f t="shared" si="28"/>
        <v>0.82948967032967025</v>
      </c>
      <c r="DX39" s="64">
        <f t="shared" si="29"/>
        <v>0.89377538461538453</v>
      </c>
      <c r="DY39" s="64">
        <f t="shared" si="30"/>
        <v>0.91540999999999995</v>
      </c>
      <c r="DZ39" s="64">
        <f t="shared" si="31"/>
        <v>0.92215999999999998</v>
      </c>
      <c r="EA39" s="3">
        <f t="shared" si="64"/>
        <v>0.95</v>
      </c>
      <c r="EB39">
        <v>2049</v>
      </c>
      <c r="EC39" s="269">
        <f t="shared" si="65"/>
        <v>6.1196453402133755E-2</v>
      </c>
      <c r="ED39" s="269">
        <f t="shared" si="66"/>
        <v>0.05</v>
      </c>
      <c r="EE39" s="64">
        <f t="shared" si="186"/>
        <v>5.9357310052173928E-2</v>
      </c>
      <c r="EF39" s="64">
        <f t="shared" si="186"/>
        <v>5.935731005217397E-2</v>
      </c>
      <c r="EG39" s="64">
        <f t="shared" si="186"/>
        <v>5.9357310052173956E-2</v>
      </c>
      <c r="EH39" s="64">
        <f t="shared" si="186"/>
        <v>5.9357310052173956E-2</v>
      </c>
      <c r="EI39" s="64">
        <f t="shared" si="186"/>
        <v>2.9678655026086964E-2</v>
      </c>
      <c r="EJ39" s="64">
        <f t="shared" si="186"/>
        <v>2.9678655026086964E-2</v>
      </c>
      <c r="EK39" s="64">
        <f t="shared" si="186"/>
        <v>8.4839999999999971E-2</v>
      </c>
      <c r="EL39" s="64">
        <f t="shared" si="186"/>
        <v>0.23708029197080305</v>
      </c>
      <c r="EM39" s="64">
        <f t="shared" si="186"/>
        <v>0.10090024330900249</v>
      </c>
      <c r="EN39" s="64">
        <f t="shared" si="186"/>
        <v>4.8686131386861287E-2</v>
      </c>
      <c r="EO39" s="64">
        <f t="shared" si="186"/>
        <v>6.4285714285714279E-2</v>
      </c>
      <c r="EP39" s="64">
        <f t="shared" si="186"/>
        <v>2.1634615384615419E-2</v>
      </c>
      <c r="EQ39" s="64">
        <f t="shared" si="186"/>
        <v>6.7500000000000338E-3</v>
      </c>
      <c r="ER39" s="64">
        <f t="shared" si="186"/>
        <v>2.7839999999999976E-2</v>
      </c>
      <c r="EX39" s="89">
        <v>2049</v>
      </c>
      <c r="EY39" s="278">
        <f t="shared" si="67"/>
        <v>1.1433333333333333</v>
      </c>
      <c r="EZ39" s="278"/>
      <c r="FA39" s="278">
        <f t="shared" si="68"/>
        <v>8.2694434393212779E-2</v>
      </c>
      <c r="FB39" s="278">
        <f t="shared" si="33"/>
        <v>0.05</v>
      </c>
      <c r="FC39" s="64">
        <f t="shared" si="69"/>
        <v>0.45540768331130449</v>
      </c>
      <c r="FD39" s="64">
        <f t="shared" si="70"/>
        <v>8.2804133919959609E-18</v>
      </c>
      <c r="FE39" s="64">
        <f t="shared" si="71"/>
        <v>0.28291581508515834</v>
      </c>
      <c r="FF39" s="64">
        <f t="shared" si="72"/>
        <v>0.12040762368207633</v>
      </c>
      <c r="FG39" s="64">
        <f t="shared" si="73"/>
        <v>5.8098783454987812E-2</v>
      </c>
      <c r="FH39" s="64">
        <f t="shared" si="74"/>
        <v>7.6714285714285721E-2</v>
      </c>
      <c r="FI39" s="64">
        <f t="shared" si="75"/>
        <v>2.581730769230774E-2</v>
      </c>
      <c r="FJ39" s="64">
        <f t="shared" si="76"/>
        <v>8.0550000000000413E-3</v>
      </c>
      <c r="FK39" s="280">
        <f t="shared" si="77"/>
        <v>3.3222399999999978E-2</v>
      </c>
      <c r="FL39" s="64"/>
      <c r="FM39" s="89">
        <v>2049</v>
      </c>
      <c r="FN39" s="278">
        <f t="shared" si="78"/>
        <v>1.1433333333333333</v>
      </c>
      <c r="FP39" s="278">
        <f t="shared" si="79"/>
        <v>0.1535274910554737</v>
      </c>
      <c r="FQ39" s="278">
        <f t="shared" si="80"/>
        <v>0.05</v>
      </c>
      <c r="FR39" s="64">
        <f t="shared" si="81"/>
        <v>0.36432614664904361</v>
      </c>
      <c r="FS39" s="64">
        <f t="shared" si="82"/>
        <v>2.0248480000000006E-2</v>
      </c>
      <c r="FT39" s="64">
        <f t="shared" si="83"/>
        <v>0.28291581508515834</v>
      </c>
      <c r="FU39" s="64">
        <f t="shared" si="84"/>
        <v>0.12040762368207633</v>
      </c>
      <c r="FV39" s="64">
        <f t="shared" si="85"/>
        <v>5.8098783454987812E-2</v>
      </c>
      <c r="FW39" s="64">
        <f t="shared" si="86"/>
        <v>7.6714285714285721E-2</v>
      </c>
      <c r="FX39" s="64">
        <f t="shared" si="87"/>
        <v>2.581730769230774E-2</v>
      </c>
      <c r="FY39" s="64">
        <f t="shared" si="88"/>
        <v>8.0550000000000413E-3</v>
      </c>
      <c r="FZ39" s="280">
        <f t="shared" si="89"/>
        <v>3.3222399999999978E-2</v>
      </c>
      <c r="GA39" s="64"/>
      <c r="GB39" s="89">
        <v>2049</v>
      </c>
      <c r="GC39" s="278">
        <f t="shared" si="90"/>
        <v>1.1433333333333333</v>
      </c>
      <c r="GE39" s="278">
        <f t="shared" si="91"/>
        <v>0.22436054771773473</v>
      </c>
      <c r="GF39" s="278">
        <f t="shared" si="92"/>
        <v>0.05</v>
      </c>
      <c r="GG39" s="64">
        <f t="shared" si="93"/>
        <v>0.27324460998678268</v>
      </c>
      <c r="GH39" s="64">
        <f t="shared" si="94"/>
        <v>4.0496959999999999E-2</v>
      </c>
      <c r="GI39" s="64">
        <f t="shared" si="95"/>
        <v>0.28291581508515834</v>
      </c>
      <c r="GJ39" s="64">
        <f t="shared" si="96"/>
        <v>0.12040762368207633</v>
      </c>
      <c r="GK39" s="64">
        <f t="shared" si="97"/>
        <v>5.8098783454987812E-2</v>
      </c>
      <c r="GL39" s="64">
        <f t="shared" si="98"/>
        <v>7.6714285714285721E-2</v>
      </c>
      <c r="GM39" s="64">
        <f t="shared" si="99"/>
        <v>2.581730769230774E-2</v>
      </c>
      <c r="GN39" s="64">
        <f t="shared" si="100"/>
        <v>8.0550000000000413E-3</v>
      </c>
      <c r="GO39" s="280">
        <f t="shared" si="101"/>
        <v>3.3222399999999978E-2</v>
      </c>
      <c r="GP39" s="64"/>
      <c r="GQ39" s="89">
        <v>2049</v>
      </c>
      <c r="GR39" s="278">
        <f t="shared" si="102"/>
        <v>1.1433333333333333</v>
      </c>
      <c r="GT39" s="278">
        <f t="shared" si="103"/>
        <v>0.29519360437999553</v>
      </c>
      <c r="GU39" s="278">
        <f t="shared" si="104"/>
        <v>0.05</v>
      </c>
      <c r="GV39" s="64">
        <f t="shared" si="105"/>
        <v>0.18216307332452181</v>
      </c>
      <c r="GW39" s="64">
        <f t="shared" si="106"/>
        <v>6.0745440000000005E-2</v>
      </c>
      <c r="GX39" s="64">
        <f t="shared" si="107"/>
        <v>0.28291581508515834</v>
      </c>
      <c r="GY39" s="64">
        <f t="shared" si="108"/>
        <v>0.12040762368207633</v>
      </c>
      <c r="GZ39" s="64">
        <f t="shared" si="109"/>
        <v>5.8098783454987812E-2</v>
      </c>
      <c r="HA39" s="64">
        <f t="shared" si="110"/>
        <v>7.6714285714285721E-2</v>
      </c>
      <c r="HB39" s="64">
        <f t="shared" si="111"/>
        <v>2.581730769230774E-2</v>
      </c>
      <c r="HC39" s="64">
        <f t="shared" si="112"/>
        <v>8.0550000000000413E-3</v>
      </c>
      <c r="HD39" s="280">
        <f t="shared" si="113"/>
        <v>3.3222399999999978E-2</v>
      </c>
      <c r="HE39" s="64"/>
      <c r="HF39" s="89">
        <v>2049</v>
      </c>
      <c r="HG39" s="278">
        <f t="shared" si="114"/>
        <v>1.1433333333333333</v>
      </c>
      <c r="HI39" s="278">
        <f t="shared" si="115"/>
        <v>0.36602666104225656</v>
      </c>
      <c r="HJ39" s="278">
        <f t="shared" si="116"/>
        <v>0.05</v>
      </c>
      <c r="HK39" s="64">
        <f t="shared" si="117"/>
        <v>9.108153666226089E-2</v>
      </c>
      <c r="HL39" s="64">
        <f t="shared" si="118"/>
        <v>8.0993919999999997E-2</v>
      </c>
      <c r="HM39" s="64">
        <f t="shared" si="119"/>
        <v>0.28291581508515834</v>
      </c>
      <c r="HN39" s="64">
        <f t="shared" si="120"/>
        <v>0.12040762368207633</v>
      </c>
      <c r="HO39" s="64">
        <f t="shared" si="121"/>
        <v>5.8098783454987812E-2</v>
      </c>
      <c r="HP39" s="64">
        <f t="shared" si="122"/>
        <v>7.6714285714285721E-2</v>
      </c>
      <c r="HQ39" s="64">
        <f t="shared" si="123"/>
        <v>2.581730769230774E-2</v>
      </c>
      <c r="HR39" s="64">
        <f t="shared" si="124"/>
        <v>8.0550000000000413E-3</v>
      </c>
      <c r="HS39" s="280">
        <f t="shared" si="125"/>
        <v>3.3222399999999978E-2</v>
      </c>
      <c r="HT39" s="64"/>
      <c r="HU39" s="89">
        <v>2049</v>
      </c>
      <c r="HV39" s="278">
        <f t="shared" si="126"/>
        <v>1.1433333333333333</v>
      </c>
      <c r="HX39" s="278">
        <f t="shared" si="127"/>
        <v>0.40144318937338686</v>
      </c>
      <c r="HY39" s="278">
        <f t="shared" si="128"/>
        <v>0.05</v>
      </c>
      <c r="HZ39" s="64">
        <f t="shared" si="129"/>
        <v>4.5540768331130417E-2</v>
      </c>
      <c r="IA39" s="64">
        <f t="shared" si="130"/>
        <v>9.111815999999999E-2</v>
      </c>
      <c r="IB39" s="64">
        <f t="shared" si="131"/>
        <v>0.28291581508515834</v>
      </c>
      <c r="IC39" s="64">
        <f t="shared" si="132"/>
        <v>0.12040762368207633</v>
      </c>
      <c r="ID39" s="64">
        <f t="shared" si="133"/>
        <v>5.8098783454987812E-2</v>
      </c>
      <c r="IE39" s="64">
        <f t="shared" si="134"/>
        <v>7.6714285714285721E-2</v>
      </c>
      <c r="IF39" s="64">
        <f t="shared" si="135"/>
        <v>2.581730769230774E-2</v>
      </c>
      <c r="IG39" s="64">
        <f t="shared" si="136"/>
        <v>8.0550000000000413E-3</v>
      </c>
      <c r="IH39" s="280">
        <f t="shared" si="137"/>
        <v>3.3222399999999978E-2</v>
      </c>
      <c r="II39" s="64"/>
      <c r="IJ39" s="89">
        <v>2049</v>
      </c>
      <c r="IK39" s="278">
        <f t="shared" si="138"/>
        <v>1.1433333333333333</v>
      </c>
      <c r="IM39" s="278">
        <f t="shared" si="139"/>
        <v>0.43685971770451737</v>
      </c>
      <c r="IN39" s="278">
        <f t="shared" si="140"/>
        <v>0.05</v>
      </c>
      <c r="IO39" s="64">
        <v>0</v>
      </c>
      <c r="IP39" s="64">
        <f t="shared" si="141"/>
        <v>0.10124239999999998</v>
      </c>
      <c r="IQ39" s="64">
        <f t="shared" si="142"/>
        <v>0.28291581508515834</v>
      </c>
      <c r="IR39" s="64">
        <f t="shared" si="143"/>
        <v>0.12040762368207633</v>
      </c>
      <c r="IS39" s="64">
        <f t="shared" si="144"/>
        <v>5.8098783454987812E-2</v>
      </c>
      <c r="IT39" s="64">
        <f t="shared" si="145"/>
        <v>7.6714285714285721E-2</v>
      </c>
      <c r="IU39" s="64">
        <f t="shared" si="146"/>
        <v>2.581730769230774E-2</v>
      </c>
      <c r="IV39" s="64">
        <f t="shared" si="147"/>
        <v>8.0550000000000413E-3</v>
      </c>
      <c r="IW39" s="280">
        <f t="shared" si="148"/>
        <v>3.3222399999999978E-2</v>
      </c>
      <c r="IX39" s="64"/>
      <c r="IY39" s="3">
        <f t="shared" si="149"/>
        <v>0.11749999999999972</v>
      </c>
      <c r="IZ39">
        <f t="shared" si="34"/>
        <v>2049</v>
      </c>
      <c r="JA39" s="3">
        <f t="shared" si="150"/>
        <v>21.161741355555556</v>
      </c>
      <c r="JB39" s="353">
        <f>HLOOKUP('1 StrategyMix for CarbonTargets'!$V$46,'Stress calculations'!JI$8:JU$39,32,FALSE)</f>
        <v>18.088657591609543</v>
      </c>
      <c r="JC39" s="3">
        <f t="shared" si="151"/>
        <v>31.4</v>
      </c>
      <c r="JD39" s="353">
        <f t="shared" si="152"/>
        <v>33.05263157894737</v>
      </c>
      <c r="JE39" s="418">
        <f t="shared" si="35"/>
        <v>0.11750000000000016</v>
      </c>
      <c r="JF39" s="368">
        <f t="shared" si="153"/>
        <v>12.924999999999995</v>
      </c>
      <c r="JG39" s="369">
        <f t="shared" si="154"/>
        <v>13.605263157894733</v>
      </c>
      <c r="JH39" s="363">
        <f t="shared" si="155"/>
        <v>16.187248504480763</v>
      </c>
      <c r="JI39" s="362">
        <f t="shared" si="36"/>
        <v>17.039208952085016</v>
      </c>
      <c r="JJ39" s="366">
        <f t="shared" si="37"/>
        <v>17.184224712029064</v>
      </c>
      <c r="JK39" s="367">
        <f t="shared" si="8"/>
        <v>18.088657591609543</v>
      </c>
      <c r="JL39" s="363">
        <f t="shared" si="38"/>
        <v>18.181200919577353</v>
      </c>
      <c r="JM39" s="362">
        <f t="shared" si="39"/>
        <v>19.138106231134056</v>
      </c>
      <c r="JN39" s="366">
        <f t="shared" si="156"/>
        <v>19.178177127125636</v>
      </c>
      <c r="JO39" s="367">
        <f t="shared" si="40"/>
        <v>20.187554870658566</v>
      </c>
      <c r="JP39" s="363">
        <f t="shared" si="157"/>
        <v>20.175153334673929</v>
      </c>
      <c r="JQ39" s="362">
        <f t="shared" si="41"/>
        <v>21.237003510183083</v>
      </c>
      <c r="JR39" s="366">
        <f t="shared" si="158"/>
        <v>20.668447345114746</v>
      </c>
      <c r="JS39" s="367">
        <f t="shared" si="42"/>
        <v>21.756260363278681</v>
      </c>
      <c r="JT39" s="363">
        <f t="shared" si="159"/>
        <v>21.161741355555556</v>
      </c>
      <c r="JU39" s="362">
        <f t="shared" si="43"/>
        <v>22.275517216374272</v>
      </c>
    </row>
    <row r="40" spans="1:283" ht="15" thickBot="1">
      <c r="A40" s="260">
        <f>'1 StrategyMix for CarbonTargets'!V37</f>
        <v>0.3</v>
      </c>
      <c r="B40" s="248"/>
      <c r="C40" s="248"/>
      <c r="D40" s="248"/>
      <c r="E40" s="248"/>
      <c r="F40" s="248"/>
      <c r="G40" s="235">
        <v>0.4</v>
      </c>
      <c r="H40" s="64">
        <f>$D78*(1-H$3-H$16-H$19-H$22-H$25-H$31-H$32-H$33)</f>
        <v>0.15561797843478256</v>
      </c>
      <c r="I40" s="64">
        <f>$D78*(1-I$3-I$16-I$19-I$22-I$25-I$31-I$32-I$33)</f>
        <v>0.15585575860869566</v>
      </c>
      <c r="J40" s="64">
        <f>$D78*(1-J$3-J$16-J$19-J$22-J$25-J$31-J$32-J$33)</f>
        <v>0.15517899965217391</v>
      </c>
      <c r="K40" s="64"/>
      <c r="M40" s="235">
        <v>0.4</v>
      </c>
      <c r="N40" s="235"/>
      <c r="O40" s="64">
        <f>$D101*(1-H$3-H$16-H$19-H$22-H$25-H$31-H$32-H$33)</f>
        <v>7.9552019478260821E-2</v>
      </c>
      <c r="P40" s="64">
        <f>$D101*(1-I$3-I$16-I$19-I$22-I$25-I$31-I$32-I$33)</f>
        <v>7.967357286956521E-2</v>
      </c>
      <c r="Q40" s="64">
        <f>$D101*(1-J$3-J$16-J$19-J$22-J$25-J$31-J$32-J$33)</f>
        <v>7.9327613217391291E-2</v>
      </c>
      <c r="AO40" s="89">
        <v>2050</v>
      </c>
      <c r="AP40" s="170">
        <f t="shared" si="160"/>
        <v>-2.8799999999999992E-2</v>
      </c>
      <c r="AQ40" s="170">
        <f t="shared" si="160"/>
        <v>-7.0000000000000045E-3</v>
      </c>
      <c r="AR40" s="170">
        <f t="shared" si="160"/>
        <v>-2.2499999999999996E-2</v>
      </c>
      <c r="AS40" s="170">
        <f t="shared" si="160"/>
        <v>-6.7499999999999977E-2</v>
      </c>
      <c r="AU40" s="170">
        <f t="shared" si="161"/>
        <v>-5.0364963503649621E-2</v>
      </c>
      <c r="AV40" s="170">
        <f t="shared" si="162"/>
        <v>-0.1043795620437957</v>
      </c>
      <c r="AW40" s="170">
        <f t="shared" si="163"/>
        <v>-0.24525547445255488</v>
      </c>
      <c r="AY40" s="170">
        <f t="shared" si="164"/>
        <v>-8.4839999999999971E-2</v>
      </c>
      <c r="AZ40" s="278">
        <f t="shared" si="165"/>
        <v>8.4839999999999968E-3</v>
      </c>
      <c r="BA40" s="284">
        <f t="shared" si="166"/>
        <v>-3.8794749913043457E-2</v>
      </c>
      <c r="BB40" s="276">
        <f t="shared" si="167"/>
        <v>-3.8794749913043457E-2</v>
      </c>
      <c r="BC40" s="277">
        <f t="shared" si="168"/>
        <v>-3.8794749913043457E-2</v>
      </c>
      <c r="BD40" s="278">
        <f t="shared" si="169"/>
        <v>8.4839999999999968E-3</v>
      </c>
      <c r="BE40" s="284">
        <f t="shared" si="170"/>
        <v>-3.8794749913043498E-2</v>
      </c>
      <c r="BF40" s="276">
        <f t="shared" si="171"/>
        <v>-3.8794749913043457E-2</v>
      </c>
      <c r="BG40" s="277">
        <f t="shared" si="9"/>
        <v>-3.8794749913043498E-2</v>
      </c>
      <c r="BH40" s="278">
        <f t="shared" si="172"/>
        <v>1.6967999999999994E-2</v>
      </c>
      <c r="BI40" s="284">
        <f t="shared" si="173"/>
        <v>-7.7589499826086983E-2</v>
      </c>
      <c r="BJ40" s="276">
        <f t="shared" si="174"/>
        <v>-7.7589499826087024E-2</v>
      </c>
      <c r="BK40" s="277">
        <f t="shared" si="10"/>
        <v>-7.7589499826086983E-2</v>
      </c>
      <c r="BL40" s="278">
        <f t="shared" si="175"/>
        <v>1.6967999999999994E-2</v>
      </c>
      <c r="BM40" s="284">
        <f t="shared" si="176"/>
        <v>-7.7589499826086941E-2</v>
      </c>
      <c r="BN40" s="276">
        <f t="shared" si="177"/>
        <v>-7.7589499826086886E-2</v>
      </c>
      <c r="BO40" s="277">
        <f t="shared" si="11"/>
        <v>-7.7589499826086941E-2</v>
      </c>
      <c r="BP40" s="278">
        <f t="shared" si="178"/>
        <v>1.6967999999999994E-2</v>
      </c>
      <c r="BQ40" s="284">
        <f t="shared" si="179"/>
        <v>-7.7589499826086997E-2</v>
      </c>
      <c r="BR40" s="276">
        <f t="shared" si="180"/>
        <v>-7.7589499826086997E-2</v>
      </c>
      <c r="BS40" s="277">
        <f t="shared" si="12"/>
        <v>-7.7589499826086997E-2</v>
      </c>
      <c r="BT40" s="278">
        <f t="shared" si="181"/>
        <v>1.6967999999999994E-2</v>
      </c>
      <c r="BU40" s="284">
        <f t="shared" si="182"/>
        <v>-7.7589499826086941E-2</v>
      </c>
      <c r="BV40" s="276">
        <f t="shared" si="183"/>
        <v>-7.7589499826086941E-2</v>
      </c>
      <c r="BW40" s="278">
        <f t="shared" si="13"/>
        <v>-7.7589499826086941E-2</v>
      </c>
      <c r="BX40" s="393">
        <f>IF(BX$1=0,AY40,IF(BX$1=0.1,AY40+AZ40,IF(BX$1=0.2,AY40+AZ40+BD40,IF(BX$1=0.4,AY40+AZ40+BD40+BH40,IF(BX$1=0.6,AY40+AZ40+BD40+BH40+BL40,IF(BX$1=0.8,AY40+AZ40+BD40+BH40+BL40+BP40,IF(BX$1=1,AY40+AZ40+BD40+BH40+BL40++BP40+BT40,0)))))))</f>
        <v>-1.6968E-2</v>
      </c>
      <c r="BY40" s="405">
        <f t="shared" si="45"/>
        <v>-0.31035799930434788</v>
      </c>
      <c r="BZ40" s="410">
        <f t="shared" si="184"/>
        <v>0.79999999999999971</v>
      </c>
      <c r="CB40" s="279">
        <f t="shared" si="185"/>
        <v>-0.61064000000000007</v>
      </c>
      <c r="CC40" s="64">
        <f t="shared" si="15"/>
        <v>-0.64095074991304346</v>
      </c>
      <c r="CD40" s="64">
        <f t="shared" si="16"/>
        <v>-0.67126149982608696</v>
      </c>
      <c r="CE40" s="64">
        <f t="shared" si="17"/>
        <v>-0.73188299965217396</v>
      </c>
      <c r="CF40" s="64">
        <f t="shared" si="18"/>
        <v>-0.79250449947826096</v>
      </c>
      <c r="CG40" s="64">
        <f t="shared" si="19"/>
        <v>-0.85312599930434796</v>
      </c>
      <c r="CH40" s="64">
        <f t="shared" si="20"/>
        <v>-0.91374749913043496</v>
      </c>
      <c r="CI40">
        <v>2050</v>
      </c>
      <c r="CJ40" s="240"/>
      <c r="CL40">
        <v>2050</v>
      </c>
      <c r="CM40" s="3">
        <f t="shared" si="46"/>
        <v>0.95</v>
      </c>
      <c r="CN40" s="64">
        <f t="shared" si="21"/>
        <v>0.92120000000000002</v>
      </c>
      <c r="CO40" s="64">
        <f t="shared" si="21"/>
        <v>0.91420000000000001</v>
      </c>
      <c r="CP40" s="64">
        <f t="shared" si="21"/>
        <v>0.89170000000000005</v>
      </c>
      <c r="CQ40" s="64">
        <f t="shared" si="21"/>
        <v>0.82420000000000004</v>
      </c>
      <c r="CR40" s="64">
        <f t="shared" si="22"/>
        <v>0.77383503649635044</v>
      </c>
      <c r="CS40" s="64">
        <f t="shared" si="22"/>
        <v>0.66945547445255471</v>
      </c>
      <c r="CT40" s="64">
        <f t="shared" si="22"/>
        <v>0.4241999999999998</v>
      </c>
      <c r="CU40" s="64">
        <f t="shared" si="23"/>
        <v>0.33935999999999983</v>
      </c>
      <c r="CV40" s="64">
        <f t="shared" si="23"/>
        <v>0.34784399999999982</v>
      </c>
      <c r="CW40" s="65">
        <f t="shared" si="47"/>
        <v>0.30904925008695638</v>
      </c>
      <c r="CX40" s="64">
        <f t="shared" si="48"/>
        <v>0.35632799999999981</v>
      </c>
      <c r="CY40" s="65">
        <f t="shared" si="49"/>
        <v>0.27873850017391288</v>
      </c>
      <c r="CZ40" s="64">
        <f t="shared" si="50"/>
        <v>0.37329599999999979</v>
      </c>
      <c r="DA40" s="65">
        <f t="shared" si="51"/>
        <v>0.21811700034782588</v>
      </c>
      <c r="DB40" s="64">
        <f t="shared" si="52"/>
        <v>0.39026399999999978</v>
      </c>
      <c r="DC40" s="65">
        <f t="shared" si="53"/>
        <v>0.15749550052173894</v>
      </c>
      <c r="DD40" s="64">
        <f t="shared" si="54"/>
        <v>0.40723199999999976</v>
      </c>
      <c r="DE40" s="65">
        <f t="shared" si="55"/>
        <v>9.6874000695651927E-2</v>
      </c>
      <c r="DF40" s="64">
        <f t="shared" si="56"/>
        <v>0.42419999999999974</v>
      </c>
      <c r="DG40" s="65">
        <f t="shared" si="57"/>
        <v>3.6252500869564969E-2</v>
      </c>
      <c r="DL40">
        <v>2050</v>
      </c>
      <c r="DM40" s="64">
        <f t="shared" si="58"/>
        <v>3.6252500869564969E-2</v>
      </c>
      <c r="DN40" s="64">
        <f t="shared" si="59"/>
        <v>9.6874000695651927E-2</v>
      </c>
      <c r="DO40" s="64">
        <f t="shared" si="60"/>
        <v>0.15749550052173894</v>
      </c>
      <c r="DP40" s="64">
        <f t="shared" si="61"/>
        <v>0.21811700034782588</v>
      </c>
      <c r="DQ40" s="64">
        <f t="shared" si="62"/>
        <v>0.27873850017391288</v>
      </c>
      <c r="DR40" s="64">
        <f t="shared" si="63"/>
        <v>0.30904925008695638</v>
      </c>
      <c r="DS40" s="64">
        <f t="shared" si="24"/>
        <v>0.33935999999999983</v>
      </c>
      <c r="DT40" s="64">
        <f t="shared" si="25"/>
        <v>0.4241999999999998</v>
      </c>
      <c r="DU40" s="64">
        <f t="shared" si="26"/>
        <v>0.66945547445255471</v>
      </c>
      <c r="DV40" s="64">
        <f t="shared" si="27"/>
        <v>0.77383503649635044</v>
      </c>
      <c r="DW40" s="64">
        <f t="shared" si="28"/>
        <v>0.82420000000000004</v>
      </c>
      <c r="DX40" s="64">
        <f t="shared" si="29"/>
        <v>0.89170000000000005</v>
      </c>
      <c r="DY40" s="64">
        <f t="shared" si="30"/>
        <v>0.91420000000000001</v>
      </c>
      <c r="DZ40" s="64">
        <f t="shared" si="31"/>
        <v>0.92120000000000002</v>
      </c>
      <c r="EA40" s="3">
        <f t="shared" si="64"/>
        <v>0.95</v>
      </c>
      <c r="EB40">
        <v>2050</v>
      </c>
      <c r="EC40" s="269">
        <f t="shared" si="65"/>
        <v>3.6252500869564996E-2</v>
      </c>
      <c r="ED40" s="269">
        <f t="shared" si="66"/>
        <v>0.05</v>
      </c>
      <c r="EE40" s="64">
        <f t="shared" si="186"/>
        <v>6.0621499826086958E-2</v>
      </c>
      <c r="EF40" s="64">
        <f t="shared" si="186"/>
        <v>6.0621499826087014E-2</v>
      </c>
      <c r="EG40" s="64">
        <f t="shared" si="186"/>
        <v>6.0621499826086944E-2</v>
      </c>
      <c r="EH40" s="64">
        <f t="shared" si="186"/>
        <v>6.0621499826087E-2</v>
      </c>
      <c r="EI40" s="64">
        <f t="shared" si="186"/>
        <v>3.03107499130435E-2</v>
      </c>
      <c r="EJ40" s="64">
        <f t="shared" si="186"/>
        <v>3.0310749913043444E-2</v>
      </c>
      <c r="EK40" s="64">
        <f t="shared" si="186"/>
        <v>8.4839999999999971E-2</v>
      </c>
      <c r="EL40" s="64">
        <f t="shared" si="186"/>
        <v>0.24525547445255491</v>
      </c>
      <c r="EM40" s="64">
        <f t="shared" si="186"/>
        <v>0.10437956204379573</v>
      </c>
      <c r="EN40" s="64">
        <f t="shared" si="186"/>
        <v>5.0364963503649607E-2</v>
      </c>
      <c r="EO40" s="64">
        <f t="shared" si="186"/>
        <v>6.7500000000000004E-2</v>
      </c>
      <c r="EP40" s="64">
        <f t="shared" si="186"/>
        <v>2.2499999999999964E-2</v>
      </c>
      <c r="EQ40" s="64">
        <f t="shared" si="186"/>
        <v>7.0000000000000062E-3</v>
      </c>
      <c r="ER40" s="64">
        <f t="shared" si="186"/>
        <v>2.8799999999999937E-2</v>
      </c>
      <c r="EX40" s="86">
        <v>2050</v>
      </c>
      <c r="EY40" s="278">
        <f t="shared" si="67"/>
        <v>1.1499999999999999</v>
      </c>
      <c r="EZ40" s="347"/>
      <c r="FA40" s="278">
        <f t="shared" si="68"/>
        <v>5.3503001043478049E-2</v>
      </c>
      <c r="FB40" s="347">
        <f t="shared" si="33"/>
        <v>0.05</v>
      </c>
      <c r="FC40" s="64">
        <f t="shared" si="69"/>
        <v>0.46553699895652173</v>
      </c>
      <c r="FD40" s="64">
        <f t="shared" si="70"/>
        <v>8.3266726846886737E-18</v>
      </c>
      <c r="FE40" s="64">
        <f t="shared" si="71"/>
        <v>0.29430656934306587</v>
      </c>
      <c r="FF40" s="64">
        <f t="shared" si="72"/>
        <v>0.12525547445255486</v>
      </c>
      <c r="FG40" s="64">
        <f t="shared" si="73"/>
        <v>6.0437956204379528E-2</v>
      </c>
      <c r="FH40" s="64">
        <f t="shared" si="74"/>
        <v>8.1000000000000003E-2</v>
      </c>
      <c r="FI40" s="64">
        <f t="shared" si="75"/>
        <v>2.6999999999999958E-2</v>
      </c>
      <c r="FJ40" s="64">
        <f t="shared" si="76"/>
        <v>8.4000000000000064E-3</v>
      </c>
      <c r="FK40" s="280">
        <f t="shared" si="77"/>
        <v>3.4559999999999924E-2</v>
      </c>
      <c r="FL40" s="414">
        <f>FA40</f>
        <v>5.3503001043478049E-2</v>
      </c>
      <c r="FM40" s="86">
        <v>2050</v>
      </c>
      <c r="FN40" s="278">
        <f t="shared" si="78"/>
        <v>1.1499999999999999</v>
      </c>
      <c r="FO40" s="87"/>
      <c r="FP40" s="278">
        <f t="shared" si="79"/>
        <v>0.1262488008347824</v>
      </c>
      <c r="FQ40" s="347">
        <f t="shared" si="80"/>
        <v>0.05</v>
      </c>
      <c r="FR40" s="64">
        <f t="shared" si="81"/>
        <v>0.37242959916521745</v>
      </c>
      <c r="FS40" s="64">
        <f t="shared" si="82"/>
        <v>2.0361600000000001E-2</v>
      </c>
      <c r="FT40" s="64">
        <f t="shared" si="83"/>
        <v>0.29430656934306587</v>
      </c>
      <c r="FU40" s="64">
        <f t="shared" si="84"/>
        <v>0.12525547445255486</v>
      </c>
      <c r="FV40" s="64">
        <f t="shared" si="85"/>
        <v>6.0437956204379528E-2</v>
      </c>
      <c r="FW40" s="64">
        <f t="shared" si="86"/>
        <v>8.1000000000000003E-2</v>
      </c>
      <c r="FX40" s="64">
        <f t="shared" si="87"/>
        <v>2.6999999999999958E-2</v>
      </c>
      <c r="FY40" s="64">
        <f t="shared" si="88"/>
        <v>8.4000000000000064E-3</v>
      </c>
      <c r="FZ40" s="280">
        <f t="shared" si="89"/>
        <v>3.4559999999999924E-2</v>
      </c>
      <c r="GA40" s="414">
        <f>FP40</f>
        <v>0.1262488008347824</v>
      </c>
      <c r="GB40" s="86">
        <v>2050</v>
      </c>
      <c r="GC40" s="278">
        <f t="shared" si="90"/>
        <v>1.1499999999999999</v>
      </c>
      <c r="GD40" s="87"/>
      <c r="GE40" s="278">
        <f t="shared" si="91"/>
        <v>0.19899460062608676</v>
      </c>
      <c r="GF40" s="347">
        <f t="shared" si="92"/>
        <v>0.05</v>
      </c>
      <c r="GG40" s="64">
        <f t="shared" si="93"/>
        <v>0.27932219937391306</v>
      </c>
      <c r="GH40" s="64">
        <f t="shared" si="94"/>
        <v>4.0723199999999994E-2</v>
      </c>
      <c r="GI40" s="64">
        <f t="shared" si="95"/>
        <v>0.29430656934306587</v>
      </c>
      <c r="GJ40" s="64">
        <f t="shared" si="96"/>
        <v>0.12525547445255486</v>
      </c>
      <c r="GK40" s="64">
        <f t="shared" si="97"/>
        <v>6.0437956204379528E-2</v>
      </c>
      <c r="GL40" s="64">
        <f t="shared" si="98"/>
        <v>8.1000000000000003E-2</v>
      </c>
      <c r="GM40" s="64">
        <f t="shared" si="99"/>
        <v>2.6999999999999958E-2</v>
      </c>
      <c r="GN40" s="64">
        <f t="shared" si="100"/>
        <v>8.4000000000000064E-3</v>
      </c>
      <c r="GO40" s="280">
        <f t="shared" si="101"/>
        <v>3.4559999999999924E-2</v>
      </c>
      <c r="GP40" s="414">
        <f>GE40</f>
        <v>0.19899460062608676</v>
      </c>
      <c r="GQ40" s="86">
        <v>2050</v>
      </c>
      <c r="GR40" s="278">
        <f t="shared" si="102"/>
        <v>1.1499999999999999</v>
      </c>
      <c r="GS40" s="87"/>
      <c r="GT40" s="278">
        <f t="shared" si="103"/>
        <v>0.27174040041739111</v>
      </c>
      <c r="GU40" s="347">
        <f t="shared" si="104"/>
        <v>0.05</v>
      </c>
      <c r="GV40" s="64">
        <f t="shared" si="105"/>
        <v>0.18621479958260873</v>
      </c>
      <c r="GW40" s="64">
        <f t="shared" si="106"/>
        <v>6.1084799999999988E-2</v>
      </c>
      <c r="GX40" s="64">
        <f t="shared" si="107"/>
        <v>0.29430656934306587</v>
      </c>
      <c r="GY40" s="64">
        <f t="shared" si="108"/>
        <v>0.12525547445255486</v>
      </c>
      <c r="GZ40" s="64">
        <f t="shared" si="109"/>
        <v>6.0437956204379528E-2</v>
      </c>
      <c r="HA40" s="64">
        <f t="shared" si="110"/>
        <v>8.1000000000000003E-2</v>
      </c>
      <c r="HB40" s="64">
        <f t="shared" si="111"/>
        <v>2.6999999999999958E-2</v>
      </c>
      <c r="HC40" s="64">
        <f t="shared" si="112"/>
        <v>8.4000000000000064E-3</v>
      </c>
      <c r="HD40" s="280">
        <f t="shared" si="113"/>
        <v>3.4559999999999924E-2</v>
      </c>
      <c r="HE40" s="414">
        <f>GT40</f>
        <v>0.27174040041739111</v>
      </c>
      <c r="HF40" s="86">
        <v>2050</v>
      </c>
      <c r="HG40" s="278">
        <f t="shared" si="114"/>
        <v>1.1499999999999999</v>
      </c>
      <c r="HH40" s="87"/>
      <c r="HI40" s="278">
        <f t="shared" si="115"/>
        <v>0.34448620020869547</v>
      </c>
      <c r="HJ40" s="347">
        <f t="shared" si="116"/>
        <v>0.05</v>
      </c>
      <c r="HK40" s="64">
        <f t="shared" si="117"/>
        <v>9.3107399791304349E-2</v>
      </c>
      <c r="HL40" s="64">
        <f t="shared" si="118"/>
        <v>8.1446399999999988E-2</v>
      </c>
      <c r="HM40" s="64">
        <f t="shared" si="119"/>
        <v>0.29430656934306587</v>
      </c>
      <c r="HN40" s="64">
        <f t="shared" si="120"/>
        <v>0.12525547445255486</v>
      </c>
      <c r="HO40" s="64">
        <f t="shared" si="121"/>
        <v>6.0437956204379528E-2</v>
      </c>
      <c r="HP40" s="64">
        <f t="shared" si="122"/>
        <v>8.1000000000000003E-2</v>
      </c>
      <c r="HQ40" s="64">
        <f t="shared" si="123"/>
        <v>2.6999999999999958E-2</v>
      </c>
      <c r="HR40" s="64">
        <f t="shared" si="124"/>
        <v>8.4000000000000064E-3</v>
      </c>
      <c r="HS40" s="280">
        <f t="shared" si="125"/>
        <v>3.4559999999999924E-2</v>
      </c>
      <c r="HT40" s="414">
        <f>HI40</f>
        <v>0.34448620020869547</v>
      </c>
      <c r="HU40" s="86">
        <v>2050</v>
      </c>
      <c r="HV40" s="278">
        <f t="shared" si="126"/>
        <v>1.1499999999999999</v>
      </c>
      <c r="HW40" s="87"/>
      <c r="HX40" s="278">
        <f t="shared" si="127"/>
        <v>0.38085910010434776</v>
      </c>
      <c r="HY40" s="347">
        <f t="shared" si="128"/>
        <v>0.05</v>
      </c>
      <c r="HZ40" s="64">
        <f t="shared" si="129"/>
        <v>4.6553699895652147E-2</v>
      </c>
      <c r="IA40" s="64">
        <f t="shared" si="130"/>
        <v>9.1627199999999978E-2</v>
      </c>
      <c r="IB40" s="64">
        <f t="shared" si="131"/>
        <v>0.29430656934306587</v>
      </c>
      <c r="IC40" s="64">
        <f t="shared" si="132"/>
        <v>0.12525547445255486</v>
      </c>
      <c r="ID40" s="64">
        <f t="shared" si="133"/>
        <v>6.0437956204379528E-2</v>
      </c>
      <c r="IE40" s="64">
        <f t="shared" si="134"/>
        <v>8.1000000000000003E-2</v>
      </c>
      <c r="IF40" s="64">
        <f t="shared" si="135"/>
        <v>2.6999999999999958E-2</v>
      </c>
      <c r="IG40" s="64">
        <f t="shared" si="136"/>
        <v>8.4000000000000064E-3</v>
      </c>
      <c r="IH40" s="280">
        <f t="shared" si="137"/>
        <v>3.4559999999999924E-2</v>
      </c>
      <c r="II40" s="414">
        <f>HX40</f>
        <v>0.38085910010434776</v>
      </c>
      <c r="IJ40" s="86">
        <v>2050</v>
      </c>
      <c r="IK40" s="278">
        <f t="shared" si="138"/>
        <v>1.1499999999999999</v>
      </c>
      <c r="IL40" s="87"/>
      <c r="IM40" s="278">
        <f t="shared" si="139"/>
        <v>0.41723199999999994</v>
      </c>
      <c r="IN40" s="347">
        <f t="shared" si="140"/>
        <v>0.05</v>
      </c>
      <c r="IO40" s="64">
        <v>0</v>
      </c>
      <c r="IP40" s="64">
        <f t="shared" si="141"/>
        <v>0.10180799999999997</v>
      </c>
      <c r="IQ40" s="64">
        <f t="shared" si="142"/>
        <v>0.29430656934306587</v>
      </c>
      <c r="IR40" s="64">
        <f t="shared" si="143"/>
        <v>0.12525547445255486</v>
      </c>
      <c r="IS40" s="64">
        <f t="shared" si="144"/>
        <v>6.0437956204379528E-2</v>
      </c>
      <c r="IT40" s="64">
        <f t="shared" si="145"/>
        <v>8.1000000000000003E-2</v>
      </c>
      <c r="IU40" s="64">
        <f t="shared" si="146"/>
        <v>2.6999999999999958E-2</v>
      </c>
      <c r="IV40" s="64">
        <f t="shared" si="147"/>
        <v>8.4000000000000064E-3</v>
      </c>
      <c r="IW40" s="280">
        <f t="shared" si="148"/>
        <v>3.4559999999999924E-2</v>
      </c>
      <c r="IX40" s="414">
        <f>IM40</f>
        <v>0.41723199999999994</v>
      </c>
      <c r="IY40" s="3">
        <f t="shared" si="149"/>
        <v>-12.924999999999995</v>
      </c>
      <c r="IZ40">
        <f t="shared" si="34"/>
        <v>2050</v>
      </c>
      <c r="JA40" s="3"/>
      <c r="JB40" s="353"/>
      <c r="JC40" s="3">
        <f t="shared" si="151"/>
        <v>32.549999999999997</v>
      </c>
      <c r="JG40" s="353"/>
      <c r="JH40" s="3"/>
      <c r="JI40" s="353"/>
      <c r="JJ40" s="3"/>
      <c r="JK40" s="353"/>
      <c r="JL40" s="3"/>
      <c r="JM40" s="353">
        <f t="shared" si="39"/>
        <v>0</v>
      </c>
      <c r="JO40" s="353">
        <f t="shared" si="40"/>
        <v>0</v>
      </c>
      <c r="JQ40" s="353">
        <f t="shared" si="41"/>
        <v>0</v>
      </c>
      <c r="JS40" s="353">
        <f t="shared" si="42"/>
        <v>0</v>
      </c>
      <c r="JU40" s="353">
        <f t="shared" si="43"/>
        <v>0</v>
      </c>
    </row>
    <row r="41" spans="1:283">
      <c r="A41" s="259"/>
      <c r="B41" s="247"/>
      <c r="C41" s="247"/>
      <c r="D41" s="247"/>
      <c r="E41" s="247"/>
      <c r="F41" s="247"/>
      <c r="G41" s="235">
        <v>0.6</v>
      </c>
      <c r="H41" s="64">
        <f>$E78*(1-H$3-H$16-H$19-H$22-H$25-H$31-H$32-H$33)</f>
        <v>0.23342696765217377</v>
      </c>
      <c r="I41" s="64">
        <f>$E78*(1-I$3-I$16-I$19-I$22-I$25-I$31-I$32-I$33)</f>
        <v>0.23378363791304346</v>
      </c>
      <c r="J41" s="64">
        <f>$E78*(1-J$3-J$16-J$19-J$22-J$25-J$31-J$32-J$33)</f>
        <v>0.23276849947826084</v>
      </c>
      <c r="K41" s="64"/>
      <c r="M41" s="235">
        <v>0.6</v>
      </c>
      <c r="N41" s="235"/>
      <c r="O41" s="64">
        <f>$E101*(1-H$3-H$16-H$19-H$22-H$25-H$31-H$32-H$33)</f>
        <v>0.11932802921739126</v>
      </c>
      <c r="P41" s="64">
        <f>$E101*(1-I$3-I$16-I$19-I$22-I$25-I$31-I$32-I$33)</f>
        <v>0.11951035930434784</v>
      </c>
      <c r="Q41" s="64">
        <f>$E101*(1-J$3-J$16-J$19-J$22-J$25-J$31-J$32-J$33)</f>
        <v>0.11899141982608696</v>
      </c>
      <c r="AO41" s="89"/>
      <c r="AY41" s="170"/>
      <c r="BA41" s="283"/>
      <c r="BB41" s="271"/>
      <c r="BC41" s="240"/>
      <c r="BE41" s="283"/>
      <c r="BF41" s="271"/>
      <c r="BG41" s="240"/>
      <c r="BI41" s="283"/>
      <c r="BJ41" s="271"/>
      <c r="BK41" s="240"/>
      <c r="BM41" s="283"/>
      <c r="BN41" s="271"/>
      <c r="BO41" s="240"/>
      <c r="BQ41" s="283"/>
      <c r="BR41" s="271"/>
      <c r="BS41" s="240"/>
      <c r="BU41" s="283"/>
      <c r="BV41" s="271"/>
      <c r="BW41" s="240"/>
      <c r="CB41" s="279"/>
      <c r="CJ41" s="240"/>
    </row>
    <row r="42" spans="1:283">
      <c r="A42" s="247"/>
      <c r="B42" s="247"/>
      <c r="C42" s="247"/>
      <c r="D42" s="247"/>
      <c r="E42" s="247"/>
      <c r="F42" s="247"/>
      <c r="G42" s="235">
        <v>0.8</v>
      </c>
      <c r="H42" s="64">
        <f>$F78*(1-H$3-H$16-H$19-H$22-H$25-H$31-H$32-H$33)</f>
        <v>0.31123595686956512</v>
      </c>
      <c r="I42" s="64">
        <f>$F78*(1-I$3-I$16-I$19-I$22-I$25-I$31-I$32-I$33)</f>
        <v>0.31171151721739132</v>
      </c>
      <c r="J42" s="64">
        <f>$F78*(1-J$3-J$16-J$19-J$22-J$25-J$31-J$32-J$33)</f>
        <v>0.31035799930434782</v>
      </c>
      <c r="K42" s="64"/>
      <c r="M42" s="235">
        <v>0.8</v>
      </c>
      <c r="N42" s="235"/>
      <c r="O42" s="64">
        <f>$F101*(1-H$3-H$16-H$19-H$22-H$25-H$31-H$32-H$33)</f>
        <v>0.15910403895652164</v>
      </c>
      <c r="P42" s="64">
        <f>$F101*(1-I$3-I$16-I$19-I$22-I$25-I$31-I$32-I$33)</f>
        <v>0.15934714573913042</v>
      </c>
      <c r="Q42" s="64">
        <f>$F101*(1-J$3-J$16-J$19-J$22-J$25-J$31-J$32-J$33)</f>
        <v>0.15865522643478258</v>
      </c>
      <c r="AO42" s="89" t="s">
        <v>171</v>
      </c>
      <c r="AP42" s="170">
        <f>SUM(AP11:AP40)/30</f>
        <v>-1.4880000000000001E-2</v>
      </c>
      <c r="AQ42" s="170">
        <f>SUM(AQ11:AQ40)/30</f>
        <v>-3.3833333333333358E-3</v>
      </c>
      <c r="AR42" s="170">
        <f>SUM(AR11:AR40)/30</f>
        <v>-1.0124999999999999E-2</v>
      </c>
      <c r="AS42" s="170">
        <f>SUM(AS11:AS40)/30</f>
        <v>-2.4749999999999998E-2</v>
      </c>
      <c r="AU42" s="170">
        <f>SUM(AU11:AU40)/30</f>
        <v>-2.6021897810218967E-2</v>
      </c>
      <c r="AV42" s="170">
        <f>SUM(AV11:AV40)/30</f>
        <v>-5.3929440389294418E-2</v>
      </c>
      <c r="AW42" s="170">
        <f>SUM(AW11:AW40)/30</f>
        <v>-0.1267153284671533</v>
      </c>
      <c r="AY42" s="170">
        <f>SUM(AY11:AY40)/30</f>
        <v>-6.2216000000000007E-2</v>
      </c>
      <c r="AZ42" s="170">
        <f>SUM(AZ11:AZ40)/30</f>
        <v>5.6726352941176431E-3</v>
      </c>
      <c r="BA42" s="284"/>
      <c r="BB42" s="275"/>
      <c r="BC42" s="287">
        <f>SUM(BC11:BC40)/30</f>
        <v>-2.1132552146086944E-2</v>
      </c>
      <c r="BD42" s="170">
        <f>SUM(BD11:BD40)/30</f>
        <v>5.6726352941176431E-3</v>
      </c>
      <c r="BE42" s="284"/>
      <c r="BF42" s="275"/>
      <c r="BG42" s="287">
        <f>SUM(BG11:BG40)/30</f>
        <v>-2.1132552146086971E-2</v>
      </c>
      <c r="BH42" s="170">
        <f>SUM(BH11:BH40)/30</f>
        <v>1.1029199999999992E-2</v>
      </c>
      <c r="BI42" s="284"/>
      <c r="BJ42" s="275"/>
      <c r="BK42" s="287">
        <f>SUM(BK11:BK40)/30</f>
        <v>-4.2265104292173929E-2</v>
      </c>
      <c r="BL42" s="170">
        <f>SUM(BL11:BL40)/30</f>
        <v>1.1029199999999992E-2</v>
      </c>
      <c r="BM42" s="284"/>
      <c r="BN42" s="275"/>
      <c r="BO42" s="287">
        <f>SUM(BO11:BO40)/30</f>
        <v>-4.2265104292173908E-2</v>
      </c>
      <c r="BP42" s="170">
        <f>SUM(BP11:BP40)/30</f>
        <v>1.1029199999999992E-2</v>
      </c>
      <c r="BQ42" s="284"/>
      <c r="BR42" s="275"/>
      <c r="BS42" s="287">
        <f>SUM(BS11:BS40)/30</f>
        <v>-4.2265104292173929E-2</v>
      </c>
      <c r="BT42" s="170">
        <f>SUM(BT11:BT40)/30</f>
        <v>1.1029199999999992E-2</v>
      </c>
      <c r="BU42" s="284"/>
      <c r="BV42" s="275"/>
      <c r="BW42" s="327">
        <f>SUM(BW11:BW40)/30</f>
        <v>-4.2265104292173908E-2</v>
      </c>
      <c r="BX42" s="330"/>
      <c r="BY42" s="330"/>
      <c r="BZ42" s="330"/>
      <c r="CB42" s="335">
        <f t="shared" ref="CB42:CB43" si="187">SUM(AP42:AY42)</f>
        <v>-0.322021</v>
      </c>
      <c r="CC42" s="331">
        <f>SUM(AP42:BA42)</f>
        <v>-0.31634836470588235</v>
      </c>
      <c r="CD42" s="331">
        <f t="shared" ref="CD42:CD43" si="188">SUM(AP42:BE42)</f>
        <v>-0.33180828155785164</v>
      </c>
      <c r="CE42" s="331">
        <f t="shared" ref="CE42:CE43" si="189">SUM(AP42:BI42)</f>
        <v>-0.34191163370393857</v>
      </c>
      <c r="CF42" s="331">
        <f t="shared" ref="CF42:CF43" si="190">SUM(AP42:BM42)</f>
        <v>-0.3731475379961125</v>
      </c>
      <c r="CG42" s="331">
        <f t="shared" ref="CG42:CG43" si="191">SUM(AP42:BQ42)</f>
        <v>-0.40438344228828638</v>
      </c>
      <c r="CH42" s="331">
        <f t="shared" ref="CH42:CH43" si="192">SUM(AP42:BU42)</f>
        <v>-0.43561934658046031</v>
      </c>
      <c r="CI42" s="332" t="s">
        <v>202</v>
      </c>
      <c r="CJ42" s="336"/>
      <c r="DK42" s="290"/>
      <c r="JF42" s="5">
        <f>(JF10-0.1)/30</f>
        <v>2.8333333333333332E-2</v>
      </c>
    </row>
    <row r="43" spans="1:283">
      <c r="A43" s="689" t="s">
        <v>112</v>
      </c>
      <c r="B43" s="689"/>
      <c r="C43" s="689"/>
      <c r="D43" s="689"/>
      <c r="E43" s="689"/>
      <c r="F43" s="689"/>
      <c r="G43" s="235">
        <v>1</v>
      </c>
      <c r="H43" s="64">
        <f>$G78*(1-H$3-H$16-H$19-H$22-H$25-H$31-H$32-H$33)</f>
        <v>0.38904494608695633</v>
      </c>
      <c r="I43" s="64">
        <f>$G78*(1-I$3-I$16-I$19-I$22-I$25-I$31-I$32-I$33)</f>
        <v>0.38963939652173912</v>
      </c>
      <c r="J43" s="64">
        <f>$G78*(1-J$3-J$16-J$19-J$22-J$25-J$31-J$32-J$33)</f>
        <v>0.38794749913043475</v>
      </c>
      <c r="K43" s="64"/>
      <c r="M43" s="235">
        <v>1</v>
      </c>
      <c r="N43" s="235"/>
      <c r="O43" s="64">
        <f>$G101*(1-H$3-H$16-H$19-H$22-H$25-H$31-H$32-H$33)</f>
        <v>0.19888004869565207</v>
      </c>
      <c r="P43" s="64">
        <f>$G101*(1-I$3-I$16-I$19-I$22-I$25-I$31-I$32-I$33)</f>
        <v>0.19918393217391306</v>
      </c>
      <c r="Q43" s="64">
        <f>$G101*(1-J$3-J$16-J$19-J$22-J$25-J$31-J$32-J$33)</f>
        <v>0.19831903304347825</v>
      </c>
      <c r="AO43" s="89" t="s">
        <v>172</v>
      </c>
      <c r="AP43" s="64">
        <f>SUM(AP11:AP20)/10</f>
        <v>-5.28E-3</v>
      </c>
      <c r="AQ43" s="64">
        <f t="shared" ref="AQ43:AS43" si="193">SUM(AQ11:AQ20)/10</f>
        <v>-9.0000000000000008E-4</v>
      </c>
      <c r="AR43" s="64">
        <f t="shared" si="193"/>
        <v>-1.8173076923076921E-3</v>
      </c>
      <c r="AS43" s="64">
        <f t="shared" si="193"/>
        <v>-3.2142857142857147E-4</v>
      </c>
      <c r="AU43" s="64">
        <f t="shared" ref="AU43:AW43" si="194">SUM(AU11:AU20)/10</f>
        <v>-9.2335766423357699E-3</v>
      </c>
      <c r="AV43" s="64">
        <f t="shared" si="194"/>
        <v>-1.913625304136253E-2</v>
      </c>
      <c r="AW43" s="64">
        <f t="shared" si="194"/>
        <v>-4.4963503649635035E-2</v>
      </c>
      <c r="AY43" s="64">
        <f t="shared" ref="AY43:AZ43" si="195">SUM(AY11:AY20)/10</f>
        <v>-2.7448235294117634E-2</v>
      </c>
      <c r="AZ43" s="64">
        <f t="shared" si="195"/>
        <v>1.7966117647058816E-3</v>
      </c>
      <c r="BA43" s="285"/>
      <c r="BB43" s="273"/>
      <c r="BC43" s="279">
        <f t="shared" ref="BC43:BT43" si="196">SUM(BC11:BC20)/10</f>
        <v>-4.9355928208695606E-3</v>
      </c>
      <c r="BD43" s="64">
        <f t="shared" si="196"/>
        <v>1.7966117647058816E-3</v>
      </c>
      <c r="BE43" s="285"/>
      <c r="BF43" s="273"/>
      <c r="BG43" s="279">
        <f t="shared" ref="BG43" si="197">SUM(BG11:BG20)/10</f>
        <v>-4.9355928208695693E-3</v>
      </c>
      <c r="BH43" s="64">
        <f t="shared" si="196"/>
        <v>3.3935999999999988E-3</v>
      </c>
      <c r="BI43" s="285"/>
      <c r="BJ43" s="273"/>
      <c r="BK43" s="279">
        <f t="shared" ref="BK43" si="198">SUM(BK11:BK20)/10</f>
        <v>-9.8711856417391351E-3</v>
      </c>
      <c r="BL43" s="64">
        <f t="shared" si="196"/>
        <v>3.3935999999999988E-3</v>
      </c>
      <c r="BM43" s="285"/>
      <c r="BN43" s="273"/>
      <c r="BO43" s="279">
        <f t="shared" ref="BO43" si="199">SUM(BO11:BO20)/10</f>
        <v>-9.8711856417391247E-3</v>
      </c>
      <c r="BP43" s="64">
        <f t="shared" si="196"/>
        <v>3.3935999999999988E-3</v>
      </c>
      <c r="BQ43" s="285"/>
      <c r="BR43" s="273"/>
      <c r="BS43" s="279">
        <f t="shared" ref="BS43" si="200">SUM(BS11:BS20)/10</f>
        <v>-9.8711856417391369E-3</v>
      </c>
      <c r="BT43" s="64">
        <f t="shared" si="196"/>
        <v>3.3935999999999988E-3</v>
      </c>
      <c r="BU43" s="285"/>
      <c r="BV43" s="273"/>
      <c r="BW43" s="328">
        <f t="shared" ref="BW43" si="201">SUM(BW11:BW20)/10</f>
        <v>-9.8711856417391265E-3</v>
      </c>
      <c r="BX43" s="64"/>
      <c r="BY43" s="64"/>
      <c r="BZ43" s="64"/>
      <c r="CB43" s="337">
        <f t="shared" si="187"/>
        <v>-0.10910030489118724</v>
      </c>
      <c r="CC43" s="292">
        <f>SUM(AP43:BA43)</f>
        <v>-0.10730369312648136</v>
      </c>
      <c r="CD43" s="292">
        <f t="shared" si="188"/>
        <v>-0.11044267418264503</v>
      </c>
      <c r="CE43" s="292">
        <f t="shared" si="189"/>
        <v>-0.1119846670035146</v>
      </c>
      <c r="CF43" s="292">
        <f t="shared" si="190"/>
        <v>-0.11846225264525374</v>
      </c>
      <c r="CG43" s="292">
        <f t="shared" si="191"/>
        <v>-0.12493983828699287</v>
      </c>
      <c r="CH43" s="292">
        <f t="shared" si="192"/>
        <v>-0.13141742392873201</v>
      </c>
      <c r="CI43" s="291" t="s">
        <v>201</v>
      </c>
      <c r="CJ43" s="338"/>
      <c r="DK43" s="290"/>
    </row>
    <row r="44" spans="1:283" ht="15" thickBot="1">
      <c r="A44" s="259">
        <f>'1 StrategyMix for CarbonTargets'!V43</f>
        <v>0.2</v>
      </c>
      <c r="B44" s="247"/>
      <c r="C44" s="247"/>
      <c r="D44" s="247"/>
      <c r="E44" s="247"/>
      <c r="F44" s="247"/>
      <c r="AO44" s="86" t="s">
        <v>180</v>
      </c>
      <c r="AP44" s="111">
        <f>AP4</f>
        <v>-2.8799999999999999E-2</v>
      </c>
      <c r="AQ44" s="111">
        <f>AQ4</f>
        <v>-7.000000000000001E-3</v>
      </c>
      <c r="AR44" s="111">
        <f>AR4</f>
        <v>-2.2499999999999999E-2</v>
      </c>
      <c r="AS44" s="111">
        <f>AS4</f>
        <v>-6.7500000000000004E-2</v>
      </c>
      <c r="AT44" s="87"/>
      <c r="AU44" s="111">
        <f>AU4</f>
        <v>-5.0364963503649648E-2</v>
      </c>
      <c r="AV44" s="111">
        <f>AV4</f>
        <v>-0.10437956204379562</v>
      </c>
      <c r="AW44" s="111">
        <f>AW4</f>
        <v>-0.24525547445255474</v>
      </c>
      <c r="AX44" s="87"/>
      <c r="AY44" s="111">
        <f>AY4</f>
        <v>-8.4839999999999971E-2</v>
      </c>
      <c r="AZ44" s="111">
        <f>AZ4</f>
        <v>8.4839999999999968E-3</v>
      </c>
      <c r="BA44" s="286"/>
      <c r="BB44" s="281"/>
      <c r="BC44" s="115">
        <f>BC4</f>
        <v>0</v>
      </c>
      <c r="BD44" s="111">
        <f>BD4</f>
        <v>8.4839999999999968E-3</v>
      </c>
      <c r="BE44" s="286"/>
      <c r="BF44" s="281"/>
      <c r="BG44" s="115">
        <f>BG4</f>
        <v>0</v>
      </c>
      <c r="BH44" s="111">
        <f>BH4</f>
        <v>1.6967999999999994E-2</v>
      </c>
      <c r="BI44" s="286"/>
      <c r="BJ44" s="281"/>
      <c r="BK44" s="115">
        <f>BK4</f>
        <v>0</v>
      </c>
      <c r="BL44" s="111">
        <f>BL4</f>
        <v>1.6967999999999994E-2</v>
      </c>
      <c r="BM44" s="286"/>
      <c r="BN44" s="281"/>
      <c r="BO44" s="115">
        <f>BO4</f>
        <v>0</v>
      </c>
      <c r="BP44" s="111">
        <f>BP4</f>
        <v>1.6967999999999994E-2</v>
      </c>
      <c r="BQ44" s="286"/>
      <c r="BR44" s="281"/>
      <c r="BS44" s="115">
        <f>BS4</f>
        <v>0</v>
      </c>
      <c r="BT44" s="111">
        <f>BT4</f>
        <v>1.6967999999999994E-2</v>
      </c>
      <c r="BU44" s="286"/>
      <c r="BV44" s="281"/>
      <c r="BW44" s="329">
        <f>BW4</f>
        <v>0</v>
      </c>
      <c r="BX44" s="5"/>
      <c r="BY44" s="5"/>
      <c r="BZ44" s="5"/>
      <c r="CB44" s="279">
        <f>CB40</f>
        <v>-0.61064000000000007</v>
      </c>
      <c r="CC44" s="64">
        <f t="shared" ref="CC44:CH44" si="202">CC40</f>
        <v>-0.64095074991304346</v>
      </c>
      <c r="CD44" s="64">
        <f t="shared" si="202"/>
        <v>-0.67126149982608696</v>
      </c>
      <c r="CE44" s="64">
        <f t="shared" si="202"/>
        <v>-0.73188299965217396</v>
      </c>
      <c r="CF44" s="64">
        <f t="shared" si="202"/>
        <v>-0.79250449947826096</v>
      </c>
      <c r="CG44" s="64">
        <f t="shared" si="202"/>
        <v>-0.85312599930434796</v>
      </c>
      <c r="CH44" s="64">
        <f t="shared" si="202"/>
        <v>-0.91374749913043496</v>
      </c>
      <c r="CI44" t="s">
        <v>200</v>
      </c>
      <c r="CJ44" s="240"/>
      <c r="DK44" s="290"/>
      <c r="JB44" s="3"/>
    </row>
    <row r="45" spans="1:283">
      <c r="A45" s="247"/>
      <c r="B45" s="247"/>
      <c r="C45" s="247"/>
      <c r="D45" s="247"/>
      <c r="E45" s="247"/>
      <c r="F45" s="247"/>
      <c r="CB45" s="279">
        <f>CB20</f>
        <v>-0.20324580909286791</v>
      </c>
      <c r="CC45" s="64">
        <f t="shared" ref="CC45:CH45" si="203">CC20</f>
        <v>-0.21087682835970506</v>
      </c>
      <c r="CD45" s="64">
        <f t="shared" si="203"/>
        <v>-0.21850784762654224</v>
      </c>
      <c r="CE45" s="64">
        <f t="shared" si="203"/>
        <v>-0.23421349400335384</v>
      </c>
      <c r="CF45" s="64">
        <f t="shared" si="203"/>
        <v>-0.24991914038016541</v>
      </c>
      <c r="CG45" s="64">
        <f t="shared" si="203"/>
        <v>-0.26562478675697704</v>
      </c>
      <c r="CH45" s="64">
        <f t="shared" si="203"/>
        <v>-0.28133043313378864</v>
      </c>
      <c r="CI45" t="s">
        <v>199</v>
      </c>
      <c r="CJ45" s="240"/>
      <c r="DK45" s="290"/>
    </row>
    <row r="46" spans="1:283" ht="26.5" customHeight="1">
      <c r="A46" s="689"/>
      <c r="B46" s="689"/>
      <c r="C46" s="689"/>
      <c r="D46" s="689"/>
      <c r="E46" s="689"/>
      <c r="F46" s="689"/>
      <c r="G46" s="234" t="s">
        <v>116</v>
      </c>
      <c r="H46" s="711" t="s">
        <v>150</v>
      </c>
      <c r="I46" s="712"/>
      <c r="J46" s="712"/>
      <c r="K46" s="289"/>
      <c r="M46" s="234" t="s">
        <v>116</v>
      </c>
      <c r="N46" s="234"/>
      <c r="O46" s="711" t="s">
        <v>150</v>
      </c>
      <c r="P46" s="712"/>
      <c r="Q46" s="712"/>
      <c r="CB46" s="339">
        <f>CB44+'1 StrategyMix for CarbonTargets'!$V$6</f>
        <v>-0.66064000000000012</v>
      </c>
      <c r="CC46" s="333">
        <f>CC44+'1 StrategyMix for CarbonTargets'!$V$6</f>
        <v>-0.6909507499130435</v>
      </c>
      <c r="CD46" s="333">
        <f>CD44+'1 StrategyMix for CarbonTargets'!$V$6</f>
        <v>-0.721261499826087</v>
      </c>
      <c r="CE46" s="333">
        <f>CE44+'1 StrategyMix for CarbonTargets'!$V$6</f>
        <v>-0.781882999652174</v>
      </c>
      <c r="CF46" s="333">
        <f>CF44+'1 StrategyMix for CarbonTargets'!$V$6</f>
        <v>-0.842504499478261</v>
      </c>
      <c r="CG46" s="333">
        <f>CG44+'1 StrategyMix for CarbonTargets'!$V$6</f>
        <v>-0.903125999304348</v>
      </c>
      <c r="CH46" s="333">
        <f>CH44+'1 StrategyMix for CarbonTargets'!$V$6</f>
        <v>-0.963747499130435</v>
      </c>
      <c r="CI46" s="334" t="s">
        <v>203</v>
      </c>
      <c r="CJ46" s="340"/>
      <c r="DK46" s="290"/>
    </row>
    <row r="47" spans="1:283" ht="15" thickBot="1">
      <c r="A47" s="259"/>
      <c r="B47" s="247"/>
      <c r="C47" s="247"/>
      <c r="D47" s="247"/>
      <c r="E47" s="247"/>
      <c r="F47" s="247"/>
      <c r="G47" s="235">
        <v>0</v>
      </c>
      <c r="H47" s="64">
        <f>$A83*(1-H$3-H$16-H$19-H$22-H$25-H$31-H$32-H$33)</f>
        <v>4.2539999999999967E-2</v>
      </c>
      <c r="I47" s="64">
        <f>$A83*(1-I$3-I$16-I$19-I$22-I$25-I$31-I$32-I$33)</f>
        <v>4.260499999999999E-2</v>
      </c>
      <c r="J47" s="64">
        <f>$A83*(1-J$3-J$16-J$19-J$22-J$25-J$31-J$32-J$33)</f>
        <v>4.2419999999999985E-2</v>
      </c>
      <c r="K47" s="64"/>
      <c r="M47" s="235">
        <v>0</v>
      </c>
      <c r="N47" s="235"/>
      <c r="O47" s="64">
        <f>$A106*(1-H$3-H$16-H$19-H$22-H$25-H$31-H$32-H$33)</f>
        <v>4.2539999999999967E-2</v>
      </c>
      <c r="P47" s="64">
        <f>$A106*(1-I$3-I$16-I$19-I$22-I$25-I$31-I$32-I$33)</f>
        <v>4.260499999999999E-2</v>
      </c>
      <c r="Q47" s="64">
        <f>$A106*(1-J$3-J$16-J$19-J$22-J$25-J$31-J$32-J$33)</f>
        <v>4.2419999999999985E-2</v>
      </c>
      <c r="CB47" s="341">
        <f>CB45+'1 StrategyMix for CarbonTargets'!$V$6</f>
        <v>-0.25324580909286792</v>
      </c>
      <c r="CC47" s="342">
        <f>CC45+'1 StrategyMix for CarbonTargets'!$V$6</f>
        <v>-0.26087682835970505</v>
      </c>
      <c r="CD47" s="342">
        <f>CD45+'1 StrategyMix for CarbonTargets'!$V$6</f>
        <v>-0.26850784762654223</v>
      </c>
      <c r="CE47" s="342">
        <f>CE45+'1 StrategyMix for CarbonTargets'!$V$6</f>
        <v>-0.28421349400335383</v>
      </c>
      <c r="CF47" s="342">
        <f>CF45+'1 StrategyMix for CarbonTargets'!$V$6</f>
        <v>-0.29991914038016543</v>
      </c>
      <c r="CG47" s="342">
        <f>CG45+'1 StrategyMix for CarbonTargets'!$V$6</f>
        <v>-0.31562478675697703</v>
      </c>
      <c r="CH47" s="342">
        <f>CH45+'1 StrategyMix for CarbonTargets'!$V$6</f>
        <v>-0.33133043313378863</v>
      </c>
      <c r="CI47" s="343" t="s">
        <v>204</v>
      </c>
      <c r="CJ47" s="344"/>
      <c r="DK47" s="290"/>
    </row>
    <row r="48" spans="1:283">
      <c r="A48" s="247"/>
      <c r="B48" s="247"/>
      <c r="C48" s="247"/>
      <c r="D48" s="247"/>
      <c r="E48" s="247"/>
      <c r="F48" s="247"/>
      <c r="G48" s="235">
        <v>0.1</v>
      </c>
      <c r="H48" s="64">
        <f>$B83*(1-H$3-H$16-H$19-H$22-H$25-H$31-H$32-H$33)</f>
        <v>7.7190494608695606E-2</v>
      </c>
      <c r="I48" s="64">
        <f>$B83*(1-I$3-I$16-I$19-I$22-I$25-I$31-I$32-I$33)</f>
        <v>7.7308439652173905E-2</v>
      </c>
      <c r="J48" s="64">
        <f>$B83*(1-J$3-J$16-J$19-J$22-J$25-J$31-J$32-J$33)</f>
        <v>7.6972749913043467E-2</v>
      </c>
      <c r="K48" s="64"/>
      <c r="M48" s="235">
        <v>0.1</v>
      </c>
      <c r="N48" s="235"/>
      <c r="O48" s="64">
        <f>$B106*(1-H$3-H$16-H$19-H$22-H$25-H$31-H$32-H$33)</f>
        <v>5.8174004869565178E-2</v>
      </c>
      <c r="P48" s="64">
        <f>$B106*(1-I$3-I$16-I$19-I$22-I$25-I$31-I$32-I$33)</f>
        <v>5.8262893217391296E-2</v>
      </c>
      <c r="Q48" s="64">
        <f>$B106*(1-J$3-J$16-J$19-J$22-J$25-J$31-J$32-J$33)</f>
        <v>5.8009903304347812E-2</v>
      </c>
      <c r="DK48" s="290"/>
    </row>
    <row r="49" spans="1:115">
      <c r="A49" s="689" t="s">
        <v>113</v>
      </c>
      <c r="B49" s="689"/>
      <c r="C49" s="689"/>
      <c r="D49" s="689"/>
      <c r="E49" s="689"/>
      <c r="F49" s="689"/>
      <c r="G49" s="235">
        <v>0.2</v>
      </c>
      <c r="H49" s="64">
        <f>$C83*(1-H$3-H$16-H$19-H$22-H$25-H$31-H$32-H$33)</f>
        <v>0.11184098921739119</v>
      </c>
      <c r="I49" s="64">
        <f>$C83*(1-I$3-I$16-I$19-I$22-I$25-I$31-I$32-I$33)</f>
        <v>0.11201187930434776</v>
      </c>
      <c r="J49" s="64">
        <f>$C83*(1-J$3-J$16-J$19-J$22-J$25-J$31-J$32-J$33)</f>
        <v>0.11152549982608689</v>
      </c>
      <c r="K49" s="64"/>
      <c r="M49" s="235">
        <v>0.2</v>
      </c>
      <c r="N49" s="235"/>
      <c r="O49" s="64">
        <f>$C106*(1-H$3-H$16-H$19-H$22-H$25-H$31-H$32-H$33)</f>
        <v>7.3808009739130348E-2</v>
      </c>
      <c r="P49" s="64">
        <f>$C106*(1-I$3-I$16-I$19-I$22-I$25-I$31-I$32-I$33)</f>
        <v>7.3920786434782559E-2</v>
      </c>
      <c r="Q49" s="64">
        <f>$C106*(1-J$3-J$16-J$19-J$22-J$25-J$31-J$32-J$33)</f>
        <v>7.3599806608695598E-2</v>
      </c>
      <c r="DK49" s="290"/>
    </row>
    <row r="50" spans="1:115">
      <c r="A50" s="259">
        <f>'1 StrategyMix for CarbonTargets'!V40</f>
        <v>0.2</v>
      </c>
      <c r="B50" s="247"/>
      <c r="C50" s="247"/>
      <c r="D50" s="247"/>
      <c r="E50" s="247"/>
      <c r="F50" s="247"/>
      <c r="G50" s="235">
        <v>0.4</v>
      </c>
      <c r="H50" s="64">
        <f>$D83*(1-H$3-H$16-H$19-H$22-H$25-H$31-H$32-H$33)</f>
        <v>0.18114197843478252</v>
      </c>
      <c r="I50" s="64">
        <f>$D83*(1-I$3-I$16-I$19-I$22-I$25-I$31-I$32-I$33)</f>
        <v>0.18141875860869566</v>
      </c>
      <c r="J50" s="64">
        <f>$D83*(1-J$3-J$16-J$19-J$22-J$25-J$31-J$32-J$33)</f>
        <v>0.18063099965217391</v>
      </c>
      <c r="K50" s="64"/>
      <c r="M50" s="235">
        <v>0.4</v>
      </c>
      <c r="N50" s="235"/>
      <c r="O50" s="64">
        <f>$D106*(1-H$3-H$16-H$19-H$22-H$25-H$31-H$32-H$33)</f>
        <v>0.10507601947826081</v>
      </c>
      <c r="P50" s="64">
        <f>$D106*(1-I$3-I$16-I$19-I$22-I$25-I$31-I$32-I$33)</f>
        <v>0.10523657286956521</v>
      </c>
      <c r="Q50" s="64">
        <f>$D106*(1-J$3-J$16-J$19-J$22-J$25-J$31-J$32-J$33)</f>
        <v>0.10477961321739129</v>
      </c>
      <c r="DK50" s="290"/>
    </row>
    <row r="51" spans="1:115">
      <c r="A51" s="247"/>
      <c r="B51" s="247"/>
      <c r="C51" s="247"/>
      <c r="D51" s="247"/>
      <c r="E51" s="247"/>
      <c r="F51" s="247"/>
      <c r="G51" s="235">
        <v>0.6</v>
      </c>
      <c r="H51" s="64">
        <f>$E83*(1-H$3-H$16-H$19-H$22-H$25-H$31-H$32-H$33)</f>
        <v>0.25044296765217372</v>
      </c>
      <c r="I51" s="64">
        <f>$E83*(1-I$3-I$16-I$19-I$22-I$25-I$31-I$32-I$33)</f>
        <v>0.25082563791304341</v>
      </c>
      <c r="J51" s="64">
        <f>$E83*(1-J$3-J$16-J$19-J$22-J$25-J$31-J$32-J$33)</f>
        <v>0.24973649947826079</v>
      </c>
      <c r="K51" s="64"/>
      <c r="M51" s="235">
        <v>0.6</v>
      </c>
      <c r="N51" s="235"/>
      <c r="O51" s="64">
        <f>$E106*(1-H$3-H$16-H$19-H$22-H$25-H$31-H$32-H$33)</f>
        <v>0.13634402921739119</v>
      </c>
      <c r="P51" s="64">
        <f>$E106*(1-I$3-I$16-I$19-I$22-I$25-I$31-I$32-I$33)</f>
        <v>0.13655235930434778</v>
      </c>
      <c r="Q51" s="64">
        <f>$E106*(1-J$3-J$16-J$19-J$22-J$25-J$31-J$32-J$33)</f>
        <v>0.13595941982608692</v>
      </c>
      <c r="DK51" s="290"/>
    </row>
    <row r="52" spans="1:115">
      <c r="A52" s="689"/>
      <c r="B52" s="689"/>
      <c r="C52" s="689"/>
      <c r="D52" s="689"/>
      <c r="E52" s="689"/>
      <c r="F52" s="689"/>
      <c r="G52" s="235">
        <v>0.8</v>
      </c>
      <c r="H52" s="64">
        <f>$F83*(1-H$3-H$16-H$19-H$22-H$25-H$31-H$32-H$33)</f>
        <v>0.31974395686956508</v>
      </c>
      <c r="I52" s="64">
        <f>$F83*(1-I$3-I$16-I$19-I$22-I$25-I$31-I$32-I$33)</f>
        <v>0.32023251721739132</v>
      </c>
      <c r="J52" s="64">
        <f>$F83*(1-J$3-J$16-J$19-J$22-J$25-J$31-J$32-J$33)</f>
        <v>0.31884199930434781</v>
      </c>
      <c r="K52" s="64"/>
      <c r="M52" s="235">
        <v>0.8</v>
      </c>
      <c r="N52" s="235"/>
      <c r="O52" s="64">
        <f>$F106*(1-H$3-H$16-H$19-H$22-H$25-H$31-H$32-H$33)</f>
        <v>0.16761203895652166</v>
      </c>
      <c r="P52" s="64">
        <f>$F106*(1-I$3-I$16-I$19-I$22-I$25-I$31-I$32-I$33)</f>
        <v>0.16786814573913045</v>
      </c>
      <c r="Q52" s="64">
        <f>$F106*(1-J$3-J$16-J$19-J$22-J$25-J$31-J$32-J$33)</f>
        <v>0.1671392264347826</v>
      </c>
      <c r="DK52" s="290"/>
    </row>
    <row r="53" spans="1:115">
      <c r="A53" s="259"/>
      <c r="B53" s="247"/>
      <c r="C53" s="247"/>
      <c r="D53" s="247"/>
      <c r="E53" s="247"/>
      <c r="F53" s="247"/>
      <c r="G53" s="235">
        <v>1</v>
      </c>
      <c r="H53" s="64">
        <f>$G83*(1-H$3-H$16-H$19-H$22-H$25-H$31-H$32-H$33)</f>
        <v>0.38904494608695633</v>
      </c>
      <c r="I53" s="64">
        <f>$G83*(1-I$3-I$16-I$19-I$22-I$25-I$31-I$32-I$33)</f>
        <v>0.38963939652173912</v>
      </c>
      <c r="J53" s="64">
        <f>$G83*(1-J$3-J$16-J$19-J$22-J$25-J$31-J$32-J$33)</f>
        <v>0.38794749913043475</v>
      </c>
      <c r="K53" s="64"/>
      <c r="M53" s="235">
        <v>1</v>
      </c>
      <c r="N53" s="235"/>
      <c r="O53" s="64">
        <f>$G106*(1-H$3-H$16-H$19-H$22-H$25-H$31-H$32-H$33)</f>
        <v>0.19888004869565207</v>
      </c>
      <c r="P53" s="64">
        <f>$G106*(1-I$3-I$16-I$19-I$22-I$25-I$31-I$32-I$33)</f>
        <v>0.19918393217391306</v>
      </c>
      <c r="Q53" s="64">
        <f>$G106*(1-J$3-J$16-J$19-J$22-J$25-J$31-J$32-J$33)</f>
        <v>0.19831903304347825</v>
      </c>
      <c r="DK53" s="290"/>
    </row>
    <row r="54" spans="1:115">
      <c r="A54" s="259"/>
      <c r="B54" s="247"/>
      <c r="C54" s="247"/>
      <c r="D54" s="247"/>
      <c r="E54" s="247"/>
      <c r="F54" s="247"/>
      <c r="DK54" s="290"/>
    </row>
    <row r="55" spans="1:115">
      <c r="A55" s="3"/>
      <c r="DK55" s="290"/>
    </row>
    <row r="56" spans="1:115" ht="26.5" customHeight="1">
      <c r="A56" s="3"/>
      <c r="G56" s="234" t="s">
        <v>116</v>
      </c>
      <c r="H56" s="711" t="s">
        <v>151</v>
      </c>
      <c r="I56" s="712"/>
      <c r="J56" s="712"/>
      <c r="K56" s="289"/>
      <c r="M56" s="234" t="s">
        <v>116</v>
      </c>
      <c r="N56" s="234"/>
      <c r="O56" s="711" t="s">
        <v>151</v>
      </c>
      <c r="P56" s="712"/>
      <c r="Q56" s="712"/>
      <c r="DK56" s="290"/>
    </row>
    <row r="57" spans="1:115">
      <c r="A57" s="3"/>
      <c r="G57" s="235">
        <v>0</v>
      </c>
      <c r="H57" s="64">
        <f>$A88*(1-H$3-H$16-H$19-H$22-H$25-H$31-H$32-H$33)</f>
        <v>8.5079999999999933E-2</v>
      </c>
      <c r="I57" s="64">
        <f>$A88*(1-I$3-I$16-I$19-I$22-I$25-I$31-I$32-I$33)</f>
        <v>8.520999999999998E-2</v>
      </c>
      <c r="J57" s="64">
        <f>$A88*(1-J$3-J$16-J$19-J$22-J$25-J$31-J$32-J$33)</f>
        <v>8.4839999999999971E-2</v>
      </c>
      <c r="K57" s="64"/>
      <c r="M57" s="235">
        <v>0</v>
      </c>
      <c r="N57" s="235"/>
      <c r="O57" s="64">
        <f>$A111*(1-H$3-H$16-H$19-H$22-H$25-H$31-H$32-H$33)</f>
        <v>8.5079999999999933E-2</v>
      </c>
      <c r="P57" s="64">
        <f>$A111*(1-I$3-I$16-I$19-I$22-I$25-I$31-I$32-I$33)</f>
        <v>8.520999999999998E-2</v>
      </c>
      <c r="Q57" s="64">
        <f>$A111*(1-J$3-J$16-J$19-J$22-J$25-J$31-J$32-J$33)</f>
        <v>8.4839999999999971E-2</v>
      </c>
      <c r="DK57" s="290"/>
    </row>
    <row r="58" spans="1:115">
      <c r="A58" s="3"/>
      <c r="G58" s="235">
        <v>0.1</v>
      </c>
      <c r="H58" s="64">
        <f>$B88*(1-H$3-H$16-H$19-H$22-H$25-H$31-H$32-H$33)</f>
        <v>0.11547649460869555</v>
      </c>
      <c r="I58" s="64">
        <f>$B88*(1-I$3-I$16-I$19-I$22-I$25-I$31-I$32-I$33)</f>
        <v>0.11565293965217387</v>
      </c>
      <c r="J58" s="64">
        <f>$B88*(1-J$3-J$16-J$19-J$22-J$25-J$31-J$32-J$33)</f>
        <v>0.11515074991304343</v>
      </c>
      <c r="K58" s="64"/>
      <c r="M58" s="235">
        <v>0.1</v>
      </c>
      <c r="N58" s="235"/>
      <c r="O58" s="64">
        <f>$B111*(1-H$3-H$16-H$19-H$22-H$25-H$31-H$32-H$33)</f>
        <v>9.6460004869565116E-2</v>
      </c>
      <c r="P58" s="64">
        <f>$B111*(1-I$3-I$16-I$19-I$22-I$25-I$31-I$32-I$33)</f>
        <v>9.6607393217391258E-2</v>
      </c>
      <c r="Q58" s="64">
        <f>$B111*(1-J$3-J$16-J$19-J$22-J$25-J$31-J$32-J$33)</f>
        <v>9.6187903304347774E-2</v>
      </c>
      <c r="DK58" s="290"/>
    </row>
    <row r="59" spans="1:115">
      <c r="A59" s="3"/>
      <c r="G59" s="235">
        <v>0.2</v>
      </c>
      <c r="H59" s="64">
        <f>$C88*(1-H$3-H$16-H$19-H$22-H$25-H$31-H$32-H$33)</f>
        <v>0.14587298921739117</v>
      </c>
      <c r="I59" s="64">
        <f>$C88*(1-I$3-I$16-I$19-I$22-I$25-I$31-I$32-I$33)</f>
        <v>0.14609587930434778</v>
      </c>
      <c r="J59" s="64">
        <f>$C88*(1-J$3-J$16-J$19-J$22-J$25-J$31-J$32-J$33)</f>
        <v>0.14546149982608689</v>
      </c>
      <c r="K59" s="64"/>
      <c r="M59" s="235">
        <v>0.2</v>
      </c>
      <c r="N59" s="235"/>
      <c r="O59" s="64">
        <f>$C111*(1-H$3-H$16-H$19-H$22-H$25-H$31-H$32-H$33)</f>
        <v>0.10784000973913035</v>
      </c>
      <c r="P59" s="64">
        <f>$C111*(1-I$3-I$16-I$19-I$22-I$25-I$31-I$32-I$33)</f>
        <v>0.10800478643478258</v>
      </c>
      <c r="Q59" s="64">
        <f>$C111*(1-J$3-J$16-J$19-J$22-J$25-J$31-J$32-J$33)</f>
        <v>0.10753580660869562</v>
      </c>
      <c r="DK59" s="290"/>
    </row>
    <row r="60" spans="1:115">
      <c r="A60" s="3"/>
      <c r="G60" s="235">
        <v>0.4</v>
      </c>
      <c r="H60" s="64">
        <f>$D88*(1-H$3-H$16-H$19-H$22-H$25-H$31-H$32-H$33)</f>
        <v>0.20666597843478252</v>
      </c>
      <c r="I60" s="64">
        <f>$D88*(1-I$3-I$16-I$19-I$22-I$25-I$31-I$32-I$33)</f>
        <v>0.20698175860869567</v>
      </c>
      <c r="J60" s="64">
        <f>$D88*(1-J$3-J$16-J$19-J$22-J$25-J$31-J$32-J$33)</f>
        <v>0.20608299965217391</v>
      </c>
      <c r="K60" s="64"/>
      <c r="M60" s="235">
        <v>0.4</v>
      </c>
      <c r="N60" s="235"/>
      <c r="O60" s="64">
        <f>$D111*(1-H$3-H$16-H$19-H$22-H$25-H$31-H$32-H$33)</f>
        <v>0.1306000194782608</v>
      </c>
      <c r="P60" s="64">
        <f>$D111*(1-I$3-I$16-I$19-I$22-I$25-I$31-I$32-I$33)</f>
        <v>0.13079957286956523</v>
      </c>
      <c r="Q60" s="64">
        <f>$D111*(1-J$3-J$16-J$19-J$22-J$25-J$31-J$32-J$33)</f>
        <v>0.1302316132173913</v>
      </c>
      <c r="DK60" s="290"/>
    </row>
    <row r="61" spans="1:115">
      <c r="A61" s="3"/>
      <c r="G61" s="235">
        <v>0.6</v>
      </c>
      <c r="H61" s="64">
        <f>$E88*(1-H$3-H$16-H$19-H$22-H$25-H$31-H$32-H$33)</f>
        <v>0.26745896765217375</v>
      </c>
      <c r="I61" s="64">
        <f>$E88*(1-I$3-I$16-I$19-I$22-I$25-I$31-I$32-I$33)</f>
        <v>0.26786763791304347</v>
      </c>
      <c r="J61" s="64">
        <f>$E88*(1-J$3-J$16-J$19-J$22-J$25-J$31-J$32-J$33)</f>
        <v>0.2667044994782608</v>
      </c>
      <c r="K61" s="64"/>
      <c r="M61" s="235">
        <v>0.6</v>
      </c>
      <c r="N61" s="235"/>
      <c r="O61" s="64">
        <f>$E111*(1-H$3-H$16-H$19-H$22-H$25-H$31-H$32-H$33)</f>
        <v>0.1533600292173912</v>
      </c>
      <c r="P61" s="64">
        <f>$E111*(1-I$3-I$16-I$19-I$22-I$25-I$31-I$32-I$33)</f>
        <v>0.15359435930434781</v>
      </c>
      <c r="Q61" s="64">
        <f>$E111*(1-J$3-J$16-J$19-J$22-J$25-J$31-J$32-J$33)</f>
        <v>0.15292741982608693</v>
      </c>
      <c r="DK61" s="290"/>
    </row>
    <row r="62" spans="1:115">
      <c r="A62" s="3"/>
      <c r="G62" s="235">
        <v>0.8</v>
      </c>
      <c r="H62" s="64">
        <f>$F88*(1-H$3-H$16-H$19-H$22-H$25-H$31-H$32-H$33)</f>
        <v>0.32825195686956504</v>
      </c>
      <c r="I62" s="64">
        <f>$F88*(1-I$3-I$16-I$19-I$22-I$25-I$31-I$32-I$33)</f>
        <v>0.32875351721739132</v>
      </c>
      <c r="J62" s="64">
        <f>$F88*(1-J$3-J$16-J$19-J$22-J$25-J$31-J$32-J$33)</f>
        <v>0.3273259993043478</v>
      </c>
      <c r="K62" s="64"/>
      <c r="M62" s="235">
        <v>0.8</v>
      </c>
      <c r="N62" s="235"/>
      <c r="O62" s="64">
        <f>$F111*(1-H$3-H$16-H$19-H$22-H$25-H$31-H$32-H$33)</f>
        <v>0.17612003895652167</v>
      </c>
      <c r="P62" s="64">
        <f>$F111*(1-I$3-I$16-I$19-I$22-I$25-I$31-I$32-I$33)</f>
        <v>0.17638914573913045</v>
      </c>
      <c r="Q62" s="64">
        <f>$F111*(1-J$3-J$16-J$19-J$22-J$25-J$31-J$32-J$33)</f>
        <v>0.17562322643478262</v>
      </c>
      <c r="DK62" s="290"/>
    </row>
    <row r="63" spans="1:115">
      <c r="A63" s="3"/>
      <c r="G63" s="235">
        <v>1</v>
      </c>
      <c r="H63" s="64">
        <f>$G88*(1-H$3-H$16-H$19-H$22-H$25-H$31-H$32-H$33)</f>
        <v>0.38904494608695633</v>
      </c>
      <c r="I63" s="64">
        <f>$G88*(1-I$3-I$16-I$19-I$22-I$25-I$31-I$32-I$33)</f>
        <v>0.38963939652173912</v>
      </c>
      <c r="J63" s="64">
        <f>$G88*(1-J$3-J$16-J$19-J$22-J$25-J$31-J$32-J$33)</f>
        <v>0.38794749913043475</v>
      </c>
      <c r="K63" s="64"/>
      <c r="M63" s="235">
        <v>1</v>
      </c>
      <c r="N63" s="235"/>
      <c r="O63" s="64">
        <f>$G111*(1-H$3-H$16-H$19-H$22-H$25-H$31-H$32-H$33)</f>
        <v>0.19888004869565207</v>
      </c>
      <c r="P63" s="64">
        <f>$G111*(1-I$3-I$16-I$19-I$22-I$25-I$31-I$32-I$33)</f>
        <v>0.19918393217391306</v>
      </c>
      <c r="Q63" s="64">
        <f>$G111*(1-J$3-J$16-J$19-J$22-J$25-J$31-J$32-J$33)</f>
        <v>0.19831903304347825</v>
      </c>
      <c r="DK63" s="290"/>
    </row>
    <row r="64" spans="1:115">
      <c r="A64" s="3"/>
      <c r="DK64" s="290"/>
    </row>
    <row r="65" spans="1:115" ht="15" customHeight="1">
      <c r="A65" s="3"/>
      <c r="DK65" s="290"/>
    </row>
    <row r="66" spans="1:115" ht="28" customHeight="1">
      <c r="A66" s="3"/>
      <c r="G66" s="136" t="s">
        <v>116</v>
      </c>
      <c r="H66" s="711" t="s">
        <v>152</v>
      </c>
      <c r="I66" s="712"/>
      <c r="J66" s="712"/>
      <c r="K66" s="289"/>
      <c r="M66" s="234" t="s">
        <v>116</v>
      </c>
      <c r="N66" s="234"/>
      <c r="O66" s="711" t="s">
        <v>152</v>
      </c>
      <c r="P66" s="712"/>
      <c r="Q66" s="712"/>
      <c r="DK66" s="290"/>
    </row>
    <row r="67" spans="1:115" ht="15" customHeight="1">
      <c r="A67" s="3"/>
      <c r="G67" s="235">
        <v>0</v>
      </c>
      <c r="H67" s="64">
        <f>$A93*(1-H$3-H$16-H$19-H$22-H$25-H$31-H$32-H$33)</f>
        <v>0.12761999999999996</v>
      </c>
      <c r="I67" s="64">
        <f>$A93*(1-I$3-I$16-I$19-I$22-I$25-I$31-I$32-I$33)</f>
        <v>0.12781500000000001</v>
      </c>
      <c r="J67" s="64">
        <f>$A93*(1-J$3-J$16-J$19-J$22-J$25-J$31-J$32-J$33)</f>
        <v>0.12726000000000001</v>
      </c>
      <c r="K67" s="64"/>
      <c r="M67" s="235">
        <v>0</v>
      </c>
      <c r="N67" s="235"/>
      <c r="O67" s="64">
        <f>$A116*(1-H$3-H$16-H$19-H$22-H$25-H$31-H$32-H$33)</f>
        <v>0.12761999999999996</v>
      </c>
      <c r="P67" s="64">
        <f>$A116*(1-I$3-I$16-I$19-I$22-I$25-I$31-I$32-I$33)</f>
        <v>0.12781500000000001</v>
      </c>
      <c r="Q67" s="64">
        <f>$A116*(1-J$3-J$16-J$19-J$22-J$25-J$31-J$32-J$33)</f>
        <v>0.12726000000000001</v>
      </c>
      <c r="DK67" s="290"/>
    </row>
    <row r="68" spans="1:115" ht="16" customHeight="1">
      <c r="A68" s="3"/>
      <c r="G68" s="235">
        <v>0.1</v>
      </c>
      <c r="H68" s="64">
        <f>$B93*(1-H$3-H$16-H$19-H$22-H$25-H$31-H$32-H$33)</f>
        <v>0.15376249460869557</v>
      </c>
      <c r="I68" s="64">
        <f>$B93*(1-I$3-I$16-I$19-I$22-I$25-I$31-I$32-I$33)</f>
        <v>0.15399743965217388</v>
      </c>
      <c r="J68" s="64">
        <f>$B93*(1-J$3-J$16-J$19-J$22-J$25-J$31-J$32-J$33)</f>
        <v>0.15332874991304346</v>
      </c>
      <c r="K68" s="64"/>
      <c r="M68" s="235">
        <v>0.1</v>
      </c>
      <c r="N68" s="235"/>
      <c r="O68" s="64">
        <f>$B116*(1-H$3-H$16-H$19-H$22-H$25-H$31-H$32-H$33)</f>
        <v>0.13474600486956514</v>
      </c>
      <c r="P68" s="64">
        <f>$B116*(1-I$3-I$16-I$19-I$22-I$25-I$31-I$32-I$33)</f>
        <v>0.13495189321739132</v>
      </c>
      <c r="Q68" s="64">
        <f>$B116*(1-J$3-J$16-J$19-J$22-J$25-J$31-J$32-J$33)</f>
        <v>0.13436590330434783</v>
      </c>
      <c r="DK68" s="290"/>
    </row>
    <row r="69" spans="1:115">
      <c r="A69" s="3"/>
      <c r="G69" s="235">
        <v>0.2</v>
      </c>
      <c r="H69" s="64">
        <f>$C93*(1-H$3-H$16-H$19-H$22-H$25-H$31-H$32-H$33)</f>
        <v>0.1799049892173912</v>
      </c>
      <c r="I69" s="64">
        <f>$C93*(1-I$3-I$16-I$19-I$22-I$25-I$31-I$32-I$33)</f>
        <v>0.18017987930434781</v>
      </c>
      <c r="J69" s="64">
        <f>$C93*(1-J$3-J$16-J$19-J$22-J$25-J$31-J$32-J$33)</f>
        <v>0.17939749982608694</v>
      </c>
      <c r="K69" s="64"/>
      <c r="M69" s="235">
        <v>0.2</v>
      </c>
      <c r="N69" s="235"/>
      <c r="O69" s="64">
        <f>$C116*(1-H$3-H$16-H$19-H$22-H$25-H$31-H$32-H$33)</f>
        <v>0.14187200973913033</v>
      </c>
      <c r="P69" s="64">
        <f>$C116*(1-I$3-I$16-I$19-I$22-I$25-I$31-I$32-I$33)</f>
        <v>0.14208878643478259</v>
      </c>
      <c r="Q69" s="64">
        <f>$C116*(1-J$3-J$16-J$19-J$22-J$25-J$31-J$32-J$33)</f>
        <v>0.14147180660869563</v>
      </c>
      <c r="DK69" s="290"/>
    </row>
    <row r="70" spans="1:115">
      <c r="A70" s="3"/>
      <c r="G70" s="235">
        <v>0.4</v>
      </c>
      <c r="H70" s="64">
        <f>$D93*(1-H$3-H$16-H$19-H$22-H$25-H$31-H$32-H$33)</f>
        <v>0.23218997843478253</v>
      </c>
      <c r="I70" s="64">
        <f>$D93*(1-I$3-I$16-I$19-I$22-I$25-I$31-I$32-I$33)</f>
        <v>0.2325447586086957</v>
      </c>
      <c r="J70" s="64">
        <f>$D93*(1-J$3-J$16-J$19-J$22-J$25-J$31-J$32-J$33)</f>
        <v>0.23153499965217395</v>
      </c>
      <c r="K70" s="64"/>
      <c r="M70" s="235">
        <v>0.4</v>
      </c>
      <c r="N70" s="235"/>
      <c r="O70" s="64">
        <f>$D116*(1-H$3-H$16-H$19-H$22-H$25-H$31-H$32-H$33)</f>
        <v>0.15612401947826079</v>
      </c>
      <c r="P70" s="64">
        <f>$D116*(1-I$3-I$16-I$19-I$22-I$25-I$31-I$32-I$33)</f>
        <v>0.15636257286956523</v>
      </c>
      <c r="Q70" s="64">
        <f>$D116*(1-J$3-J$16-J$19-J$22-J$25-J$31-J$32-J$33)</f>
        <v>0.1556836132173913</v>
      </c>
      <c r="DK70" s="290"/>
    </row>
    <row r="71" spans="1:115">
      <c r="A71" s="3"/>
      <c r="G71" s="235">
        <v>0.6</v>
      </c>
      <c r="H71" s="64">
        <f>$E93*(1-H$3-H$16-H$19-H$22-H$25-H$31-H$32-H$33)</f>
        <v>0.28447496765217373</v>
      </c>
      <c r="I71" s="64">
        <f>$E93*(1-I$3-I$16-I$19-I$22-I$25-I$31-I$32-I$33)</f>
        <v>0.28490963791304347</v>
      </c>
      <c r="J71" s="64">
        <f>$E93*(1-J$3-J$16-J$19-J$22-J$25-J$31-J$32-J$33)</f>
        <v>0.28367249947826084</v>
      </c>
      <c r="K71" s="64"/>
      <c r="M71" s="235">
        <v>0.6</v>
      </c>
      <c r="N71" s="235"/>
      <c r="O71" s="64">
        <f>$E116*(1-H$3-H$16-H$19-H$22-H$25-H$31-H$32-H$33)</f>
        <v>0.17037602921739123</v>
      </c>
      <c r="P71" s="64">
        <f>$E116*(1-I$3-I$16-I$19-I$22-I$25-I$31-I$32-I$33)</f>
        <v>0.17063635930434784</v>
      </c>
      <c r="Q71" s="64">
        <f>$E116*(1-J$3-J$16-J$19-J$22-J$25-J$31-J$32-J$33)</f>
        <v>0.16989541982608697</v>
      </c>
      <c r="DK71" s="290"/>
    </row>
    <row r="72" spans="1:115">
      <c r="A72" s="3"/>
      <c r="G72" s="235">
        <v>0.8</v>
      </c>
      <c r="H72" s="64">
        <f>$F93*(1-H$3-H$16-H$19-H$22-H$25-H$31-H$32-H$33)</f>
        <v>0.33675995686956506</v>
      </c>
      <c r="I72" s="64">
        <f>$F93*(1-I$3-I$16-I$19-I$22-I$25-I$31-I$32-I$33)</f>
        <v>0.33727451721739132</v>
      </c>
      <c r="J72" s="64">
        <f>$F93*(1-J$3-J$16-J$19-J$22-J$25-J$31-J$32-J$33)</f>
        <v>0.33580999930434779</v>
      </c>
      <c r="K72" s="64"/>
      <c r="M72" s="235">
        <v>0.8</v>
      </c>
      <c r="N72" s="235"/>
      <c r="O72" s="64">
        <f>$F116*(1-H$3-H$16-H$19-H$22-H$25-H$31-H$32-H$33)</f>
        <v>0.18462803895652163</v>
      </c>
      <c r="P72" s="64">
        <f>$F116*(1-I$3-I$16-I$19-I$22-I$25-I$31-I$32-I$33)</f>
        <v>0.18491014573913042</v>
      </c>
      <c r="Q72" s="64">
        <f>$F116*(1-J$3-J$16-J$19-J$22-J$25-J$31-J$32-J$33)</f>
        <v>0.18410722643478258</v>
      </c>
      <c r="DK72" s="290"/>
    </row>
    <row r="73" spans="1:115">
      <c r="G73" s="235">
        <v>1</v>
      </c>
      <c r="H73" s="64">
        <f>$G93*(1-H$3-H$16-H$19-H$22-H$25-H$31-H$32-H$33)</f>
        <v>0.38904494608695633</v>
      </c>
      <c r="I73" s="64">
        <f>$G93*(1-I$3-I$16-I$19-I$22-I$25-I$31-I$32-I$33)</f>
        <v>0.38963939652173912</v>
      </c>
      <c r="J73" s="64">
        <f>$G93*(1-J$3-J$16-J$19-J$22-J$25-J$31-J$32-J$33)</f>
        <v>0.38794749913043475</v>
      </c>
      <c r="K73" s="64"/>
      <c r="M73" s="235">
        <v>1</v>
      </c>
      <c r="N73" s="235"/>
      <c r="O73" s="64">
        <f>$G116*(1-H$3-H$16-H$19-H$22-H$25-H$31-H$32-H$33)</f>
        <v>0.19888004869565207</v>
      </c>
      <c r="P73" s="64">
        <f>$G116*(1-I$3-I$16-I$19-I$22-I$25-I$31-I$32-I$33)</f>
        <v>0.19918393217391306</v>
      </c>
      <c r="Q73" s="64">
        <f>$G116*(1-J$3-J$16-J$19-J$22-J$25-J$31-J$32-J$33)</f>
        <v>0.19831903304347825</v>
      </c>
    </row>
    <row r="74" spans="1:115" ht="15" thickBot="1">
      <c r="A74" t="s">
        <v>175</v>
      </c>
    </row>
    <row r="75" spans="1:115">
      <c r="A75" s="228" t="s">
        <v>149</v>
      </c>
      <c r="B75" s="125"/>
      <c r="C75" s="125"/>
      <c r="D75" s="125"/>
      <c r="E75" s="125"/>
      <c r="F75" s="125"/>
      <c r="G75" s="229"/>
      <c r="BX75" s="559"/>
      <c r="BY75" s="559"/>
    </row>
    <row r="76" spans="1:115">
      <c r="A76" s="708" t="s">
        <v>145</v>
      </c>
      <c r="B76" s="583"/>
      <c r="C76" s="583"/>
      <c r="D76" s="583"/>
      <c r="E76" s="583"/>
      <c r="F76" s="583"/>
      <c r="G76" s="709"/>
      <c r="AX76" s="2"/>
      <c r="BA76" s="1"/>
      <c r="BB76" s="1"/>
      <c r="BC76" s="1"/>
      <c r="BE76" s="1"/>
      <c r="BF76" s="1"/>
      <c r="BG76" s="1"/>
      <c r="BI76" s="1"/>
      <c r="BJ76" s="1"/>
      <c r="BK76" s="1"/>
      <c r="BM76" s="1"/>
      <c r="BN76" s="1"/>
      <c r="BO76" s="1"/>
      <c r="BQ76" s="1"/>
      <c r="BR76" s="1"/>
      <c r="BS76" s="1"/>
      <c r="BU76" s="1"/>
      <c r="BV76" s="1"/>
      <c r="BW76" s="1"/>
      <c r="BX76" s="1"/>
      <c r="BY76" s="1"/>
    </row>
    <row r="77" spans="1:115" ht="15" thickBot="1">
      <c r="A77" s="230">
        <v>0</v>
      </c>
      <c r="B77" s="3">
        <v>0.1</v>
      </c>
      <c r="C77" s="3">
        <v>0.2</v>
      </c>
      <c r="D77" s="3">
        <v>0.4</v>
      </c>
      <c r="E77" s="3">
        <v>0.6</v>
      </c>
      <c r="F77" s="3">
        <v>0.8</v>
      </c>
      <c r="G77" s="85">
        <v>1</v>
      </c>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289"/>
    </row>
    <row r="78" spans="1:115" ht="15" thickBot="1">
      <c r="A78" s="231" cm="1">
        <f t="array" ref="A78">INDEX(IMPROVE!AJ$9:AJ$52,MATCH(1,($A$38=IMPROVE!$A$9:$A$52)*($A$44=IMPROVE!$C$9:$C$52),0))</f>
        <v>0</v>
      </c>
      <c r="B78" s="232" cm="1">
        <f t="array" ref="B78">INDEX(IMPROVE!AK$9:AK$52,MATCH(1,($A$38=IMPROVE!$A$9:$A$52)*($A$44=IMPROVE!$C$9:$C$52),0))</f>
        <v>9.1453913043478219E-2</v>
      </c>
      <c r="C78" s="232" cm="1">
        <f t="array" ref="C78">INDEX(IMPROVE!AL$9:AL$52,MATCH(1,($A$38=IMPROVE!$A$9:$A$52)*($A$44=IMPROVE!$C$9:$C$52),0))</f>
        <v>0.18290782608695644</v>
      </c>
      <c r="D78" s="232" cm="1">
        <f t="array" ref="D78">INDEX(IMPROVE!AM$9:AM$52,MATCH(1,($A$38=IMPROVE!$A$9:$A$52)*($A$44=IMPROVE!$C$9:$C$52),0))</f>
        <v>0.3658156521739131</v>
      </c>
      <c r="E78" s="232" cm="1">
        <f t="array" ref="E78">INDEX(IMPROVE!AN$9:AN$52,MATCH(1,($A$38=IMPROVE!$A$9:$A$52)*($A$44=IMPROVE!$C$9:$C$52),0))</f>
        <v>0.54872347826086953</v>
      </c>
      <c r="F78" s="232" cm="1">
        <f t="array" ref="F78">INDEX(IMPROVE!AO$9:AO$52,MATCH(1,($A$38=IMPROVE!$A$9:$A$52)*($A$44=IMPROVE!$C$9:$C$52),0))</f>
        <v>0.73163130434782619</v>
      </c>
      <c r="G78" s="233" cm="1">
        <f t="array" ref="G78">INDEX(IMPROVE!AP$9:AP$52,MATCH(1,($A$38=IMPROVE!$A$9:$A$52)*($A$44=IMPROVE!$C$9:$C$52),0))</f>
        <v>0.91453913043478263</v>
      </c>
      <c r="H78" s="64"/>
      <c r="AP78" s="5"/>
      <c r="AQ78" s="5"/>
      <c r="AR78" s="5"/>
      <c r="AS78" s="5"/>
      <c r="AU78" s="5"/>
      <c r="AV78" s="5"/>
      <c r="AW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115" ht="15" thickBot="1">
      <c r="AU79" s="5"/>
      <c r="AV79" s="5"/>
      <c r="AW79" s="5"/>
    </row>
    <row r="80" spans="1:115">
      <c r="A80" s="228" t="s">
        <v>150</v>
      </c>
      <c r="B80" s="125"/>
      <c r="C80" s="125"/>
      <c r="D80" s="125"/>
      <c r="E80" s="125"/>
      <c r="F80" s="125"/>
      <c r="G80" s="229"/>
    </row>
    <row r="81" spans="1:78">
      <c r="A81" s="708" t="s">
        <v>145</v>
      </c>
      <c r="B81" s="583"/>
      <c r="C81" s="583"/>
      <c r="D81" s="583"/>
      <c r="E81" s="583"/>
      <c r="F81" s="583"/>
      <c r="G81" s="709"/>
    </row>
    <row r="82" spans="1:78" ht="15" thickBot="1">
      <c r="A82" s="230">
        <v>0</v>
      </c>
      <c r="B82" s="3">
        <v>0.1</v>
      </c>
      <c r="C82" s="3">
        <v>0.2</v>
      </c>
      <c r="D82" s="3">
        <v>0.4</v>
      </c>
      <c r="E82" s="3">
        <v>0.6</v>
      </c>
      <c r="F82" s="3">
        <v>0.8</v>
      </c>
      <c r="G82" s="85">
        <v>1</v>
      </c>
    </row>
    <row r="83" spans="1:78" ht="15" thickBot="1">
      <c r="A83" s="231" cm="1">
        <f t="array" ref="A83">INDEX(IMPROVE!AQ$9:AQ$52,MATCH(1,($A$38=IMPROVE!$A$9:$A$52)*($A$44=IMPROVE!$C$9:$C$52),0))</f>
        <v>9.9999999999999978E-2</v>
      </c>
      <c r="B83" s="232" cm="1">
        <f t="array" ref="B83">INDEX(IMPROVE!AR$9:AR$52,MATCH(1,($A$38=IMPROVE!$A$9:$A$52)*($A$44=IMPROVE!$C$9:$C$52),0))</f>
        <v>0.18145391304347824</v>
      </c>
      <c r="C83" s="232" cm="1">
        <f t="array" ref="C83">INDEX(IMPROVE!AS$9:AS$52,MATCH(1,($A$38=IMPROVE!$A$9:$A$52)*($A$44=IMPROVE!$C$9:$C$52),0))</f>
        <v>0.2629078260869564</v>
      </c>
      <c r="D83" s="232" cm="1">
        <f t="array" ref="D83">INDEX(IMPROVE!AT$9:AT$52,MATCH(1,($A$38=IMPROVE!$A$9:$A$52)*($A$44=IMPROVE!$C$9:$C$52),0))</f>
        <v>0.4258156521739131</v>
      </c>
      <c r="E83" s="232" cm="1">
        <f t="array" ref="E83">INDEX(IMPROVE!AU$9:AU$52,MATCH(1,($A$38=IMPROVE!$A$9:$A$52)*($A$44=IMPROVE!$C$9:$C$52),0))</f>
        <v>0.58872347826086946</v>
      </c>
      <c r="F83" s="232" cm="1">
        <f t="array" ref="F83">INDEX(IMPROVE!AV$9:AV$52,MATCH(1,($A$38=IMPROVE!$A$9:$A$52)*($A$44=IMPROVE!$C$9:$C$52),0))</f>
        <v>0.7516313043478261</v>
      </c>
      <c r="G83" s="233" cm="1">
        <f t="array" ref="G83">INDEX(IMPROVE!AW$9:AW$52,MATCH(1,($A$38=IMPROVE!$A$9:$A$52)*($A$44=IMPROVE!$C$9:$C$52),0))</f>
        <v>0.91453913043478263</v>
      </c>
    </row>
    <row r="84" spans="1:78" ht="15" thickBot="1"/>
    <row r="85" spans="1:78">
      <c r="A85" s="228" t="s">
        <v>151</v>
      </c>
      <c r="B85" s="125"/>
      <c r="C85" s="125"/>
      <c r="D85" s="125"/>
      <c r="E85" s="125"/>
      <c r="F85" s="125"/>
      <c r="G85" s="229"/>
      <c r="AP85" s="330"/>
      <c r="AQ85" s="330"/>
      <c r="AR85" s="330"/>
      <c r="AS85" s="330"/>
      <c r="AU85" s="330"/>
      <c r="AV85" s="330"/>
      <c r="AW85" s="330"/>
      <c r="AY85" s="330"/>
      <c r="AZ85" s="330"/>
      <c r="BA85" s="330"/>
      <c r="BB85" s="560"/>
      <c r="BC85" s="560"/>
      <c r="BD85" s="330"/>
      <c r="BE85" s="330"/>
      <c r="BF85" s="560"/>
      <c r="BG85" s="560"/>
      <c r="BH85" s="330"/>
      <c r="BI85" s="330"/>
      <c r="BJ85" s="560"/>
      <c r="BK85" s="560"/>
      <c r="BL85" s="330"/>
      <c r="BM85" s="330"/>
      <c r="BN85" s="560"/>
      <c r="BO85" s="560"/>
      <c r="BP85" s="330"/>
      <c r="BQ85" s="330"/>
      <c r="BR85" s="560"/>
      <c r="BS85" s="560"/>
      <c r="BT85" s="330"/>
      <c r="BU85" s="330"/>
      <c r="BV85" s="560"/>
      <c r="BW85" s="560"/>
      <c r="BX85" s="560"/>
      <c r="BY85" s="560"/>
      <c r="BZ85" s="560"/>
    </row>
    <row r="86" spans="1:78">
      <c r="A86" s="708" t="s">
        <v>145</v>
      </c>
      <c r="B86" s="583"/>
      <c r="C86" s="583"/>
      <c r="D86" s="583"/>
      <c r="E86" s="583"/>
      <c r="F86" s="583"/>
      <c r="G86" s="709"/>
      <c r="AP86" s="330"/>
      <c r="AQ86" s="330"/>
      <c r="AR86" s="330"/>
      <c r="AS86" s="330"/>
      <c r="AU86" s="330"/>
      <c r="AV86" s="330"/>
      <c r="AW86" s="330"/>
      <c r="AY86" s="330"/>
      <c r="AZ86" s="560"/>
      <c r="BA86" s="330"/>
      <c r="BB86" s="560"/>
      <c r="BC86" s="560"/>
      <c r="BD86" s="560"/>
      <c r="BE86" s="330"/>
      <c r="BF86" s="560"/>
      <c r="BG86" s="560"/>
      <c r="BH86" s="560"/>
      <c r="BI86" s="330"/>
      <c r="BJ86" s="560"/>
      <c r="BK86" s="560"/>
      <c r="BL86" s="560"/>
      <c r="BM86" s="330"/>
      <c r="BN86" s="560"/>
      <c r="BO86" s="560"/>
      <c r="BP86" s="560"/>
      <c r="BQ86" s="330"/>
      <c r="BR86" s="560"/>
      <c r="BS86" s="560"/>
      <c r="BT86" s="560"/>
      <c r="BU86" s="330"/>
      <c r="BV86" s="560"/>
      <c r="BW86" s="560"/>
      <c r="BX86" s="560"/>
      <c r="BY86" s="560"/>
      <c r="BZ86" s="560"/>
    </row>
    <row r="87" spans="1:78" ht="15" thickBot="1">
      <c r="A87" s="230">
        <v>0</v>
      </c>
      <c r="B87" s="3">
        <v>0.1</v>
      </c>
      <c r="C87" s="3">
        <v>0.2</v>
      </c>
      <c r="D87" s="3">
        <v>0.4</v>
      </c>
      <c r="E87" s="3">
        <v>0.6</v>
      </c>
      <c r="F87" s="3">
        <v>0.8</v>
      </c>
      <c r="G87" s="85">
        <v>1</v>
      </c>
      <c r="AP87" s="330"/>
      <c r="AQ87" s="330"/>
      <c r="AR87" s="330"/>
      <c r="AS87" s="330"/>
      <c r="AU87" s="330"/>
      <c r="AV87" s="330"/>
      <c r="AW87" s="330"/>
      <c r="AY87" s="330"/>
      <c r="AZ87" s="560"/>
      <c r="BA87" s="330"/>
      <c r="BB87" s="560"/>
      <c r="BC87" s="560"/>
      <c r="BD87" s="560"/>
      <c r="BE87" s="330"/>
      <c r="BF87" s="560"/>
      <c r="BG87" s="560"/>
      <c r="BH87" s="560"/>
      <c r="BI87" s="330"/>
      <c r="BJ87" s="560"/>
      <c r="BK87" s="560"/>
      <c r="BL87" s="560"/>
      <c r="BM87" s="330"/>
      <c r="BN87" s="560"/>
      <c r="BO87" s="560"/>
      <c r="BP87" s="560"/>
      <c r="BQ87" s="330"/>
      <c r="BR87" s="560"/>
      <c r="BS87" s="560"/>
      <c r="BT87" s="560"/>
      <c r="BU87" s="330"/>
      <c r="BV87" s="560"/>
      <c r="BW87" s="560"/>
      <c r="BX87" s="560"/>
      <c r="BY87" s="560"/>
      <c r="BZ87" s="560"/>
    </row>
    <row r="88" spans="1:78" ht="15" thickBot="1">
      <c r="A88" s="231" cm="1">
        <f t="array" ref="A88">INDEX(IMPROVE!AX$9:AX$52,MATCH(1,($A$38=IMPROVE!$A$9:$A$52)*($A$44=IMPROVE!$C$9:$C$52),0))</f>
        <v>0.19999999999999996</v>
      </c>
      <c r="B88" s="232" cm="1">
        <f t="array" ref="B88">INDEX(IMPROVE!AY$9:AY$52,MATCH(1,($A$38=IMPROVE!$A$9:$A$52)*($A$44=IMPROVE!$C$9:$C$52),0))</f>
        <v>0.27145391304347816</v>
      </c>
      <c r="C88" s="232" cm="1">
        <f t="array" ref="C88">INDEX(IMPROVE!AZ$9:AZ$52,MATCH(1,($A$38=IMPROVE!$A$9:$A$52)*($A$44=IMPROVE!$C$9:$C$52),0))</f>
        <v>0.34290782608695641</v>
      </c>
      <c r="D88" s="232" cm="1">
        <f t="array" ref="D88">INDEX(IMPROVE!BA$9:BA$52,MATCH(1,($A$38=IMPROVE!$A$9:$A$52)*($A$44=IMPROVE!$C$9:$C$52),0))</f>
        <v>0.48581565217391309</v>
      </c>
      <c r="E88" s="232" cm="1">
        <f t="array" ref="E88">INDEX(IMPROVE!BB$9:BB$52,MATCH(1,($A$38=IMPROVE!$A$9:$A$52)*($A$44=IMPROVE!$C$9:$C$52),0))</f>
        <v>0.62872347826086949</v>
      </c>
      <c r="F88" s="232" cm="1">
        <f t="array" ref="F88">INDEX(IMPROVE!BC$9:BC$52,MATCH(1,($A$38=IMPROVE!$A$9:$A$52)*($A$44=IMPROVE!$C$9:$C$52),0))</f>
        <v>0.77163130434782612</v>
      </c>
      <c r="G88" s="233" cm="1">
        <f t="array" ref="G88">INDEX(IMPROVE!BD$9:BD$52,MATCH(1,($A$38=IMPROVE!$A$9:$A$52)*($A$44=IMPROVE!$C$9:$C$52),0))</f>
        <v>0.91453913043478263</v>
      </c>
      <c r="AP88" s="330"/>
      <c r="AQ88" s="330"/>
      <c r="AR88" s="330"/>
      <c r="AS88" s="330"/>
      <c r="AU88" s="330"/>
      <c r="AV88" s="330"/>
      <c r="AW88" s="330"/>
      <c r="AY88" s="330"/>
      <c r="AZ88" s="560"/>
      <c r="BA88" s="330"/>
      <c r="BB88" s="560"/>
      <c r="BC88" s="560"/>
      <c r="BD88" s="560"/>
      <c r="BE88" s="330"/>
      <c r="BF88" s="560"/>
      <c r="BG88" s="560"/>
      <c r="BH88" s="560"/>
      <c r="BI88" s="330"/>
      <c r="BJ88" s="560"/>
      <c r="BK88" s="560"/>
      <c r="BL88" s="560"/>
      <c r="BM88" s="330"/>
      <c r="BN88" s="560"/>
      <c r="BO88" s="560"/>
      <c r="BP88" s="560"/>
      <c r="BQ88" s="330"/>
      <c r="BR88" s="560"/>
      <c r="BS88" s="560"/>
      <c r="BT88" s="560"/>
      <c r="BU88" s="330"/>
      <c r="BV88" s="560"/>
      <c r="BW88" s="560"/>
      <c r="BX88" s="560"/>
      <c r="BY88" s="560"/>
      <c r="BZ88" s="560"/>
    </row>
    <row r="89" spans="1:78" ht="15" thickBot="1">
      <c r="AP89" s="330"/>
      <c r="AQ89" s="330"/>
      <c r="AR89" s="330"/>
      <c r="AS89" s="330"/>
      <c r="AU89" s="330"/>
      <c r="AV89" s="330"/>
      <c r="AW89" s="330"/>
      <c r="AY89" s="330"/>
      <c r="AZ89" s="560"/>
      <c r="BA89" s="330"/>
      <c r="BB89" s="560"/>
      <c r="BC89" s="560"/>
      <c r="BD89" s="560"/>
      <c r="BE89" s="330"/>
      <c r="BF89" s="560"/>
      <c r="BG89" s="560"/>
      <c r="BH89" s="560"/>
      <c r="BI89" s="330"/>
      <c r="BJ89" s="560"/>
      <c r="BK89" s="560"/>
      <c r="BL89" s="560"/>
      <c r="BM89" s="330"/>
      <c r="BN89" s="560"/>
      <c r="BO89" s="560"/>
      <c r="BP89" s="560"/>
      <c r="BQ89" s="330"/>
      <c r="BR89" s="560"/>
      <c r="BS89" s="560"/>
      <c r="BT89" s="560"/>
      <c r="BU89" s="330"/>
      <c r="BV89" s="560"/>
      <c r="BW89" s="560"/>
      <c r="BX89" s="560"/>
      <c r="BY89" s="560"/>
      <c r="BZ89" s="560"/>
    </row>
    <row r="90" spans="1:78">
      <c r="A90" s="228" t="s">
        <v>152</v>
      </c>
      <c r="B90" s="125"/>
      <c r="C90" s="125"/>
      <c r="D90" s="125"/>
      <c r="E90" s="125"/>
      <c r="F90" s="125"/>
      <c r="G90" s="229"/>
      <c r="AP90" s="330"/>
      <c r="AQ90" s="330"/>
      <c r="AR90" s="330"/>
      <c r="AS90" s="330"/>
      <c r="AU90" s="330"/>
      <c r="AV90" s="330"/>
      <c r="AW90" s="330"/>
      <c r="AY90" s="330"/>
      <c r="AZ90" s="560"/>
      <c r="BA90" s="330"/>
      <c r="BB90" s="560"/>
      <c r="BC90" s="560"/>
      <c r="BD90" s="560"/>
      <c r="BE90" s="330"/>
      <c r="BF90" s="560"/>
      <c r="BG90" s="560"/>
      <c r="BH90" s="560"/>
      <c r="BI90" s="330"/>
      <c r="BJ90" s="560"/>
      <c r="BK90" s="560"/>
      <c r="BL90" s="560"/>
      <c r="BM90" s="330"/>
      <c r="BN90" s="560"/>
      <c r="BO90" s="560"/>
      <c r="BP90" s="560"/>
      <c r="BQ90" s="330"/>
      <c r="BR90" s="560"/>
      <c r="BS90" s="560"/>
      <c r="BT90" s="560"/>
      <c r="BU90" s="330"/>
      <c r="BV90" s="560"/>
      <c r="BW90" s="560"/>
      <c r="BX90" s="560"/>
      <c r="BY90" s="560"/>
      <c r="BZ90" s="560"/>
    </row>
    <row r="91" spans="1:78">
      <c r="A91" s="708" t="s">
        <v>145</v>
      </c>
      <c r="B91" s="583"/>
      <c r="C91" s="583"/>
      <c r="D91" s="583"/>
      <c r="E91" s="583"/>
      <c r="F91" s="583"/>
      <c r="G91" s="709"/>
      <c r="AP91" s="330"/>
      <c r="AQ91" s="330"/>
      <c r="AR91" s="330"/>
      <c r="AS91" s="330"/>
      <c r="AU91" s="330"/>
      <c r="AV91" s="330"/>
      <c r="AW91" s="330"/>
      <c r="AY91" s="330"/>
      <c r="AZ91" s="560"/>
      <c r="BA91" s="330"/>
      <c r="BB91" s="560"/>
      <c r="BC91" s="560"/>
      <c r="BD91" s="560"/>
      <c r="BE91" s="330"/>
      <c r="BF91" s="560"/>
      <c r="BG91" s="560"/>
      <c r="BH91" s="560"/>
      <c r="BI91" s="330"/>
      <c r="BJ91" s="560"/>
      <c r="BK91" s="560"/>
      <c r="BL91" s="560"/>
      <c r="BM91" s="330"/>
      <c r="BN91" s="560"/>
      <c r="BO91" s="560"/>
      <c r="BP91" s="560"/>
      <c r="BQ91" s="330"/>
      <c r="BR91" s="560"/>
      <c r="BS91" s="560"/>
      <c r="BT91" s="560"/>
      <c r="BU91" s="330"/>
      <c r="BV91" s="560"/>
      <c r="BW91" s="560"/>
      <c r="BX91" s="560"/>
      <c r="BY91" s="560"/>
      <c r="BZ91" s="560"/>
    </row>
    <row r="92" spans="1:78" ht="15" thickBot="1">
      <c r="A92" s="230">
        <v>0</v>
      </c>
      <c r="B92" s="3">
        <v>0.1</v>
      </c>
      <c r="C92" s="3">
        <v>0.2</v>
      </c>
      <c r="D92" s="3">
        <v>0.4</v>
      </c>
      <c r="E92" s="3">
        <v>0.6</v>
      </c>
      <c r="F92" s="3">
        <v>0.8</v>
      </c>
      <c r="G92" s="85">
        <v>1</v>
      </c>
      <c r="AP92" s="330"/>
      <c r="AQ92" s="330"/>
      <c r="AR92" s="330"/>
      <c r="AS92" s="330"/>
      <c r="AU92" s="330"/>
      <c r="AV92" s="330"/>
      <c r="AW92" s="330"/>
      <c r="AY92" s="330"/>
      <c r="AZ92" s="560"/>
      <c r="BA92" s="330"/>
      <c r="BB92" s="560"/>
      <c r="BC92" s="560"/>
      <c r="BD92" s="560"/>
      <c r="BE92" s="330"/>
      <c r="BF92" s="560"/>
      <c r="BG92" s="560"/>
      <c r="BH92" s="560"/>
      <c r="BI92" s="330"/>
      <c r="BJ92" s="560"/>
      <c r="BK92" s="560"/>
      <c r="BL92" s="560"/>
      <c r="BM92" s="330"/>
      <c r="BN92" s="560"/>
      <c r="BO92" s="560"/>
      <c r="BP92" s="560"/>
      <c r="BQ92" s="330"/>
      <c r="BR92" s="560"/>
      <c r="BS92" s="560"/>
      <c r="BT92" s="560"/>
      <c r="BU92" s="330"/>
      <c r="BV92" s="560"/>
      <c r="BW92" s="560"/>
      <c r="BX92" s="560"/>
      <c r="BY92" s="560"/>
      <c r="BZ92" s="560"/>
    </row>
    <row r="93" spans="1:78" ht="15" thickBot="1">
      <c r="A93" s="231" cm="1">
        <f t="array" ref="A93">INDEX(IMPROVE!BE$9:BE$52,MATCH(1,($A$38=IMPROVE!$A$9:$A$52)*($A$44=IMPROVE!$C$9:$C$52),0))</f>
        <v>0.30000000000000004</v>
      </c>
      <c r="B93" s="232" cm="1">
        <f t="array" ref="B93">INDEX(IMPROVE!BF$9:BF$52,MATCH(1,($A$38=IMPROVE!$A$9:$A$52)*($A$44=IMPROVE!$C$9:$C$52),0))</f>
        <v>0.36145391304347824</v>
      </c>
      <c r="C93" s="232" cm="1">
        <f t="array" ref="C93">INDEX(IMPROVE!BG$9:BG$52,MATCH(1,($A$38=IMPROVE!$A$9:$A$52)*($A$44=IMPROVE!$C$9:$C$52),0))</f>
        <v>0.42290782608695648</v>
      </c>
      <c r="D93" s="232" cm="1">
        <f t="array" ref="D93">INDEX(IMPROVE!BH$9:BH$52,MATCH(1,($A$38=IMPROVE!$A$9:$A$52)*($A$44=IMPROVE!$C$9:$C$52),0))</f>
        <v>0.54581565217391315</v>
      </c>
      <c r="E93" s="232" cm="1">
        <f t="array" ref="E93">INDEX(IMPROVE!BI$9:BI$52,MATCH(1,($A$38=IMPROVE!$A$9:$A$52)*($A$44=IMPROVE!$C$9:$C$52),0))</f>
        <v>0.66872347826086953</v>
      </c>
      <c r="F93" s="232" cm="1">
        <f t="array" ref="F93">INDEX(IMPROVE!BJ$9:BJ$52,MATCH(1,($A$38=IMPROVE!$A$9:$A$52)*($A$44=IMPROVE!$C$9:$C$52),0))</f>
        <v>0.79163130434782614</v>
      </c>
      <c r="G93" s="233" cm="1">
        <f t="array" ref="G93">INDEX(IMPROVE!BK$9:BK$52,MATCH(1,($A$38=IMPROVE!$A$9:$A$52)*($A$44=IMPROVE!$C$9:$C$52),0))</f>
        <v>0.91453913043478263</v>
      </c>
      <c r="AP93" s="330"/>
      <c r="AQ93" s="330"/>
      <c r="AR93" s="330"/>
      <c r="AS93" s="330"/>
      <c r="AU93" s="330"/>
      <c r="AV93" s="330"/>
      <c r="AW93" s="330"/>
      <c r="AY93" s="330"/>
      <c r="AZ93" s="560"/>
      <c r="BA93" s="330"/>
      <c r="BB93" s="560"/>
      <c r="BC93" s="560"/>
      <c r="BD93" s="560"/>
      <c r="BE93" s="330"/>
      <c r="BF93" s="560"/>
      <c r="BG93" s="560"/>
      <c r="BH93" s="560"/>
      <c r="BI93" s="330"/>
      <c r="BJ93" s="560"/>
      <c r="BK93" s="560"/>
      <c r="BL93" s="560"/>
      <c r="BM93" s="330"/>
      <c r="BN93" s="560"/>
      <c r="BO93" s="560"/>
      <c r="BP93" s="560"/>
      <c r="BQ93" s="330"/>
      <c r="BR93" s="560"/>
      <c r="BS93" s="560"/>
      <c r="BT93" s="560"/>
      <c r="BU93" s="330"/>
      <c r="BV93" s="560"/>
      <c r="BW93" s="560"/>
      <c r="BX93" s="560"/>
      <c r="BY93" s="560"/>
      <c r="BZ93" s="560"/>
    </row>
    <row r="94" spans="1:78">
      <c r="AP94" s="330"/>
      <c r="AQ94" s="330"/>
      <c r="AR94" s="330"/>
      <c r="AS94" s="330"/>
      <c r="AU94" s="330"/>
      <c r="AV94" s="330"/>
      <c r="AW94" s="330"/>
      <c r="AY94" s="330"/>
      <c r="AZ94" s="560"/>
      <c r="BA94" s="330"/>
      <c r="BB94" s="560"/>
      <c r="BC94" s="560"/>
      <c r="BD94" s="560"/>
      <c r="BE94" s="330"/>
      <c r="BF94" s="560"/>
      <c r="BG94" s="560"/>
      <c r="BH94" s="560"/>
      <c r="BI94" s="330"/>
      <c r="BJ94" s="560"/>
      <c r="BK94" s="560"/>
      <c r="BL94" s="560"/>
      <c r="BM94" s="330"/>
      <c r="BN94" s="560"/>
      <c r="BO94" s="560"/>
      <c r="BP94" s="560"/>
      <c r="BQ94" s="330"/>
      <c r="BR94" s="560"/>
      <c r="BS94" s="560"/>
      <c r="BT94" s="560"/>
      <c r="BU94" s="330"/>
      <c r="BV94" s="560"/>
      <c r="BW94" s="560"/>
      <c r="BX94" s="560"/>
      <c r="BY94" s="560"/>
      <c r="BZ94" s="560"/>
    </row>
    <row r="95" spans="1:78">
      <c r="AP95" s="330"/>
      <c r="AQ95" s="330"/>
      <c r="AR95" s="330"/>
      <c r="AS95" s="330"/>
      <c r="AU95" s="330"/>
      <c r="AV95" s="330"/>
      <c r="AW95" s="330"/>
      <c r="AY95" s="330"/>
      <c r="AZ95" s="560"/>
      <c r="BA95" s="330"/>
      <c r="BB95" s="560"/>
      <c r="BC95" s="560"/>
      <c r="BD95" s="560"/>
      <c r="BE95" s="330"/>
      <c r="BF95" s="560"/>
      <c r="BG95" s="560"/>
      <c r="BH95" s="560"/>
      <c r="BI95" s="330"/>
      <c r="BJ95" s="560"/>
      <c r="BK95" s="560"/>
      <c r="BL95" s="560"/>
      <c r="BM95" s="330"/>
      <c r="BN95" s="560"/>
      <c r="BO95" s="560"/>
      <c r="BP95" s="560"/>
      <c r="BQ95" s="330"/>
      <c r="BR95" s="560"/>
      <c r="BS95" s="560"/>
      <c r="BT95" s="560"/>
      <c r="BU95" s="330"/>
      <c r="BV95" s="560"/>
      <c r="BW95" s="560"/>
      <c r="BX95" s="560"/>
      <c r="BY95" s="560"/>
      <c r="BZ95" s="560"/>
    </row>
    <row r="96" spans="1:78">
      <c r="AP96" s="330"/>
      <c r="AQ96" s="330"/>
      <c r="AR96" s="330"/>
      <c r="AS96" s="330"/>
      <c r="AU96" s="330"/>
      <c r="AV96" s="330"/>
      <c r="AW96" s="330"/>
      <c r="AY96" s="330"/>
      <c r="AZ96" s="560"/>
      <c r="BA96" s="330"/>
      <c r="BB96" s="560"/>
      <c r="BC96" s="560"/>
      <c r="BD96" s="560"/>
      <c r="BE96" s="330"/>
      <c r="BF96" s="560"/>
      <c r="BG96" s="560"/>
      <c r="BH96" s="560"/>
      <c r="BI96" s="330"/>
      <c r="BJ96" s="560"/>
      <c r="BK96" s="560"/>
      <c r="BL96" s="560"/>
      <c r="BM96" s="330"/>
      <c r="BN96" s="560"/>
      <c r="BO96" s="560"/>
      <c r="BP96" s="560"/>
      <c r="BQ96" s="330"/>
      <c r="BR96" s="560"/>
      <c r="BS96" s="560"/>
      <c r="BT96" s="560"/>
      <c r="BU96" s="330"/>
      <c r="BV96" s="560"/>
      <c r="BW96" s="560"/>
      <c r="BX96" s="560"/>
      <c r="BY96" s="560"/>
      <c r="BZ96" s="560"/>
    </row>
    <row r="97" spans="1:78" ht="15" thickBot="1">
      <c r="A97" t="s">
        <v>174</v>
      </c>
      <c r="AP97" s="330"/>
      <c r="AQ97" s="330"/>
      <c r="AR97" s="330"/>
      <c r="AS97" s="330"/>
      <c r="AU97" s="330"/>
      <c r="AV97" s="330"/>
      <c r="AW97" s="330"/>
      <c r="AY97" s="330"/>
      <c r="AZ97" s="560"/>
      <c r="BA97" s="330"/>
      <c r="BB97" s="560"/>
      <c r="BC97" s="560"/>
      <c r="BD97" s="560"/>
      <c r="BE97" s="330"/>
      <c r="BF97" s="560"/>
      <c r="BG97" s="560"/>
      <c r="BH97" s="560"/>
      <c r="BI97" s="330"/>
      <c r="BJ97" s="560"/>
      <c r="BK97" s="560"/>
      <c r="BL97" s="560"/>
      <c r="BM97" s="330"/>
      <c r="BN97" s="560"/>
      <c r="BO97" s="560"/>
      <c r="BP97" s="560"/>
      <c r="BQ97" s="330"/>
      <c r="BR97" s="560"/>
      <c r="BS97" s="560"/>
      <c r="BT97" s="560"/>
      <c r="BU97" s="330"/>
      <c r="BV97" s="560"/>
      <c r="BW97" s="560"/>
      <c r="BX97" s="560"/>
      <c r="BY97" s="560"/>
      <c r="BZ97" s="560"/>
    </row>
    <row r="98" spans="1:78">
      <c r="A98" s="228" t="s">
        <v>149</v>
      </c>
      <c r="B98" s="125"/>
      <c r="C98" s="125"/>
      <c r="D98" s="125"/>
      <c r="E98" s="125"/>
      <c r="F98" s="125"/>
      <c r="G98" s="229"/>
      <c r="AP98" s="330"/>
      <c r="AQ98" s="330"/>
      <c r="AR98" s="330"/>
      <c r="AS98" s="330"/>
      <c r="AU98" s="330"/>
      <c r="AV98" s="330"/>
      <c r="AW98" s="330"/>
      <c r="AY98" s="330"/>
      <c r="AZ98" s="560"/>
      <c r="BA98" s="330"/>
      <c r="BB98" s="560"/>
      <c r="BC98" s="560"/>
      <c r="BD98" s="560"/>
      <c r="BE98" s="330"/>
      <c r="BF98" s="560"/>
      <c r="BG98" s="560"/>
      <c r="BH98" s="560"/>
      <c r="BI98" s="330"/>
      <c r="BJ98" s="560"/>
      <c r="BK98" s="560"/>
      <c r="BL98" s="560"/>
      <c r="BM98" s="330"/>
      <c r="BN98" s="560"/>
      <c r="BO98" s="560"/>
      <c r="BP98" s="560"/>
      <c r="BQ98" s="330"/>
      <c r="BR98" s="560"/>
      <c r="BS98" s="560"/>
      <c r="BT98" s="560"/>
      <c r="BU98" s="330"/>
      <c r="BV98" s="560"/>
      <c r="BW98" s="560"/>
      <c r="BX98" s="560"/>
      <c r="BY98" s="560"/>
      <c r="BZ98" s="560"/>
    </row>
    <row r="99" spans="1:78">
      <c r="A99" s="708" t="s">
        <v>145</v>
      </c>
      <c r="B99" s="583"/>
      <c r="C99" s="583"/>
      <c r="D99" s="583"/>
      <c r="E99" s="583"/>
      <c r="F99" s="583"/>
      <c r="G99" s="709"/>
      <c r="AP99" s="330"/>
      <c r="AQ99" s="330"/>
      <c r="AR99" s="330"/>
      <c r="AS99" s="330"/>
      <c r="AU99" s="330"/>
      <c r="AV99" s="330"/>
      <c r="AW99" s="330"/>
      <c r="AY99" s="330"/>
      <c r="AZ99" s="560"/>
      <c r="BA99" s="330"/>
      <c r="BB99" s="560"/>
      <c r="BC99" s="560"/>
      <c r="BD99" s="560"/>
      <c r="BE99" s="330"/>
      <c r="BF99" s="560"/>
      <c r="BG99" s="560"/>
      <c r="BH99" s="560"/>
      <c r="BI99" s="330"/>
      <c r="BJ99" s="560"/>
      <c r="BK99" s="560"/>
      <c r="BL99" s="560"/>
      <c r="BM99" s="330"/>
      <c r="BN99" s="560"/>
      <c r="BO99" s="560"/>
      <c r="BP99" s="560"/>
      <c r="BQ99" s="330"/>
      <c r="BR99" s="560"/>
      <c r="BS99" s="560"/>
      <c r="BT99" s="560"/>
      <c r="BU99" s="330"/>
      <c r="BV99" s="560"/>
      <c r="BW99" s="560"/>
      <c r="BX99" s="560"/>
      <c r="BY99" s="560"/>
      <c r="BZ99" s="560"/>
    </row>
    <row r="100" spans="1:78" ht="15" thickBot="1">
      <c r="A100" s="230">
        <v>0</v>
      </c>
      <c r="B100" s="3">
        <v>0.1</v>
      </c>
      <c r="C100" s="3">
        <v>0.2</v>
      </c>
      <c r="D100" s="3">
        <v>0.4</v>
      </c>
      <c r="E100" s="3">
        <v>0.6</v>
      </c>
      <c r="F100" s="3">
        <v>0.8</v>
      </c>
      <c r="G100" s="85">
        <v>1</v>
      </c>
      <c r="AP100" s="330"/>
      <c r="AQ100" s="330"/>
      <c r="AR100" s="330"/>
      <c r="AS100" s="330"/>
      <c r="AU100" s="330"/>
      <c r="AV100" s="330"/>
      <c r="AW100" s="330"/>
      <c r="AY100" s="330"/>
      <c r="AZ100" s="560"/>
      <c r="BA100" s="330"/>
      <c r="BB100" s="560"/>
      <c r="BC100" s="560"/>
      <c r="BD100" s="560"/>
      <c r="BE100" s="330"/>
      <c r="BF100" s="560"/>
      <c r="BG100" s="560"/>
      <c r="BH100" s="560"/>
      <c r="BI100" s="330"/>
      <c r="BJ100" s="560"/>
      <c r="BK100" s="560"/>
      <c r="BL100" s="560"/>
      <c r="BM100" s="330"/>
      <c r="BN100" s="560"/>
      <c r="BO100" s="560"/>
      <c r="BP100" s="560"/>
      <c r="BQ100" s="330"/>
      <c r="BR100" s="560"/>
      <c r="BS100" s="560"/>
      <c r="BT100" s="560"/>
      <c r="BU100" s="330"/>
      <c r="BV100" s="560"/>
      <c r="BW100" s="560"/>
      <c r="BX100" s="560"/>
      <c r="BY100" s="560"/>
      <c r="BZ100" s="560"/>
    </row>
    <row r="101" spans="1:78" ht="15" thickBot="1">
      <c r="A101" s="231" cm="1">
        <f t="array" ref="A101">INDEX(IMPROVE!AJ$9:AJ$52,MATCH(1,($A$40=IMPROVE!$A$9:$A$52)*($A$44=IMPROVE!$C$9:$C$52),0))</f>
        <v>0</v>
      </c>
      <c r="B101" s="232" cm="1">
        <f t="array" ref="B101">INDEX(IMPROVE!AK$9:AK$52,MATCH(1,($A$40=IMPROVE!$A$9:$A$52)*($A$44=IMPROVE!$C$9:$C$52),0))</f>
        <v>4.6751304347826164E-2</v>
      </c>
      <c r="C101" s="232" cm="1">
        <f t="array" ref="C101">INDEX(IMPROVE!AL$9:AL$52,MATCH(1,($A$40=IMPROVE!$A$9:$A$52)*($A$44=IMPROVE!$C$9:$C$52),0))</f>
        <v>9.350260869565212E-2</v>
      </c>
      <c r="D101" s="232" cm="1">
        <f t="array" ref="D101">INDEX(IMPROVE!AM$9:AM$52,MATCH(1,($A$40=IMPROVE!$A$9:$A$52)*($A$44=IMPROVE!$C$9:$C$52),0))</f>
        <v>0.18700521739130432</v>
      </c>
      <c r="E101" s="232" cm="1">
        <f t="array" ref="E101">INDEX(IMPROVE!AN$9:AN$52,MATCH(1,($A$40=IMPROVE!$A$9:$A$52)*($A$44=IMPROVE!$C$9:$C$52),0))</f>
        <v>0.28050782608695657</v>
      </c>
      <c r="F101" s="232" cm="1">
        <f t="array" ref="F101">INDEX(IMPROVE!AO$9:AO$52,MATCH(1,($A$40=IMPROVE!$A$9:$A$52)*($A$44=IMPROVE!$C$9:$C$52),0))</f>
        <v>0.37401043478260865</v>
      </c>
      <c r="G101" s="233" cm="1">
        <f t="array" ref="G101">INDEX(IMPROVE!AP$9:AP$52,MATCH(1,($A$40=IMPROVE!$A$9:$A$52)*($A$44=IMPROVE!$C$9:$C$52),0))</f>
        <v>0.46751304347826089</v>
      </c>
      <c r="AP101" s="330"/>
      <c r="AQ101" s="330"/>
      <c r="AR101" s="330"/>
      <c r="AS101" s="330"/>
      <c r="AU101" s="330"/>
      <c r="AV101" s="330"/>
      <c r="AW101" s="330"/>
      <c r="AY101" s="330"/>
      <c r="AZ101" s="560"/>
      <c r="BA101" s="330"/>
      <c r="BB101" s="560"/>
      <c r="BC101" s="560"/>
      <c r="BD101" s="560"/>
      <c r="BE101" s="330"/>
      <c r="BF101" s="560"/>
      <c r="BG101" s="560"/>
      <c r="BH101" s="560"/>
      <c r="BI101" s="330"/>
      <c r="BJ101" s="560"/>
      <c r="BK101" s="560"/>
      <c r="BL101" s="560"/>
      <c r="BM101" s="330"/>
      <c r="BN101" s="560"/>
      <c r="BO101" s="560"/>
      <c r="BP101" s="560"/>
      <c r="BQ101" s="330"/>
      <c r="BR101" s="560"/>
      <c r="BS101" s="560"/>
      <c r="BT101" s="560"/>
      <c r="BU101" s="330"/>
      <c r="BV101" s="560"/>
      <c r="BW101" s="560"/>
      <c r="BX101" s="560"/>
      <c r="BY101" s="560"/>
      <c r="BZ101" s="560"/>
    </row>
    <row r="102" spans="1:78" ht="15" thickBot="1">
      <c r="AP102" s="330"/>
      <c r="AQ102" s="330"/>
      <c r="AR102" s="330"/>
      <c r="AS102" s="330"/>
      <c r="AU102" s="330"/>
      <c r="AV102" s="330"/>
      <c r="AW102" s="330"/>
      <c r="AY102" s="330"/>
      <c r="AZ102" s="560"/>
      <c r="BA102" s="330"/>
      <c r="BB102" s="560"/>
      <c r="BC102" s="560"/>
      <c r="BD102" s="560"/>
      <c r="BE102" s="330"/>
      <c r="BF102" s="560"/>
      <c r="BG102" s="560"/>
      <c r="BH102" s="560"/>
      <c r="BI102" s="330"/>
      <c r="BJ102" s="560"/>
      <c r="BK102" s="560"/>
      <c r="BL102" s="560"/>
      <c r="BM102" s="330"/>
      <c r="BN102" s="560"/>
      <c r="BO102" s="560"/>
      <c r="BP102" s="560"/>
      <c r="BQ102" s="330"/>
      <c r="BR102" s="560"/>
      <c r="BS102" s="560"/>
      <c r="BT102" s="560"/>
      <c r="BU102" s="330"/>
      <c r="BV102" s="560"/>
      <c r="BW102" s="560"/>
      <c r="BX102" s="560"/>
      <c r="BY102" s="560"/>
      <c r="BZ102" s="560"/>
    </row>
    <row r="103" spans="1:78">
      <c r="A103" s="228" t="s">
        <v>150</v>
      </c>
      <c r="B103" s="125"/>
      <c r="C103" s="125"/>
      <c r="D103" s="125"/>
      <c r="E103" s="125"/>
      <c r="F103" s="125"/>
      <c r="G103" s="229"/>
      <c r="AP103" s="330"/>
      <c r="AQ103" s="330"/>
      <c r="AR103" s="330"/>
      <c r="AS103" s="330"/>
      <c r="AU103" s="330"/>
      <c r="AV103" s="330"/>
      <c r="AW103" s="330"/>
      <c r="AY103" s="330"/>
      <c r="AZ103" s="560"/>
      <c r="BA103" s="330"/>
      <c r="BB103" s="560"/>
      <c r="BC103" s="560"/>
      <c r="BD103" s="560"/>
      <c r="BE103" s="330"/>
      <c r="BF103" s="560"/>
      <c r="BG103" s="560"/>
      <c r="BH103" s="560"/>
      <c r="BI103" s="330"/>
      <c r="BJ103" s="560"/>
      <c r="BK103" s="560"/>
      <c r="BL103" s="560"/>
      <c r="BM103" s="330"/>
      <c r="BN103" s="560"/>
      <c r="BO103" s="560"/>
      <c r="BP103" s="560"/>
      <c r="BQ103" s="330"/>
      <c r="BR103" s="560"/>
      <c r="BS103" s="560"/>
      <c r="BT103" s="560"/>
      <c r="BU103" s="330"/>
      <c r="BV103" s="560"/>
      <c r="BW103" s="560"/>
      <c r="BX103" s="560"/>
      <c r="BY103" s="560"/>
      <c r="BZ103" s="560"/>
    </row>
    <row r="104" spans="1:78">
      <c r="A104" s="708" t="s">
        <v>145</v>
      </c>
      <c r="B104" s="583"/>
      <c r="C104" s="583"/>
      <c r="D104" s="583"/>
      <c r="E104" s="583"/>
      <c r="F104" s="583"/>
      <c r="G104" s="709"/>
      <c r="AP104" s="330"/>
      <c r="AQ104" s="330"/>
      <c r="AR104" s="330"/>
      <c r="AS104" s="330"/>
      <c r="AU104" s="330"/>
      <c r="AV104" s="330"/>
      <c r="AW104" s="330"/>
      <c r="AY104" s="330"/>
      <c r="AZ104" s="560"/>
      <c r="BA104" s="330"/>
      <c r="BB104" s="560"/>
      <c r="BC104" s="560"/>
      <c r="BD104" s="560"/>
      <c r="BE104" s="330"/>
      <c r="BF104" s="560"/>
      <c r="BG104" s="560"/>
      <c r="BH104" s="560"/>
      <c r="BI104" s="330"/>
      <c r="BJ104" s="560"/>
      <c r="BK104" s="560"/>
      <c r="BL104" s="560"/>
      <c r="BM104" s="330"/>
      <c r="BN104" s="560"/>
      <c r="BO104" s="560"/>
      <c r="BP104" s="560"/>
      <c r="BQ104" s="330"/>
      <c r="BR104" s="560"/>
      <c r="BS104" s="560"/>
      <c r="BT104" s="560"/>
      <c r="BU104" s="330"/>
      <c r="BV104" s="560"/>
      <c r="BW104" s="560"/>
      <c r="BX104" s="560"/>
      <c r="BY104" s="560"/>
      <c r="BZ104" s="560"/>
    </row>
    <row r="105" spans="1:78" ht="15" thickBot="1">
      <c r="A105" s="230">
        <v>0</v>
      </c>
      <c r="B105" s="3">
        <v>0.1</v>
      </c>
      <c r="C105" s="3">
        <v>0.2</v>
      </c>
      <c r="D105" s="3">
        <v>0.4</v>
      </c>
      <c r="E105" s="3">
        <v>0.6</v>
      </c>
      <c r="F105" s="3">
        <v>0.8</v>
      </c>
      <c r="G105" s="85">
        <v>1</v>
      </c>
      <c r="AP105" s="330"/>
      <c r="AQ105" s="330"/>
      <c r="AR105" s="330"/>
      <c r="AS105" s="330"/>
      <c r="AU105" s="330"/>
      <c r="AV105" s="330"/>
      <c r="AW105" s="330"/>
      <c r="AY105" s="330"/>
      <c r="AZ105" s="560"/>
      <c r="BA105" s="330"/>
      <c r="BB105" s="560"/>
      <c r="BC105" s="560"/>
      <c r="BD105" s="560"/>
      <c r="BE105" s="330"/>
      <c r="BF105" s="560"/>
      <c r="BG105" s="560"/>
      <c r="BH105" s="560"/>
      <c r="BI105" s="330"/>
      <c r="BJ105" s="560"/>
      <c r="BK105" s="560"/>
      <c r="BL105" s="560"/>
      <c r="BM105" s="330"/>
      <c r="BN105" s="560"/>
      <c r="BO105" s="560"/>
      <c r="BP105" s="560"/>
      <c r="BQ105" s="330"/>
      <c r="BR105" s="560"/>
      <c r="BS105" s="560"/>
      <c r="BT105" s="560"/>
      <c r="BU105" s="330"/>
      <c r="BV105" s="560"/>
      <c r="BW105" s="560"/>
      <c r="BX105" s="560"/>
      <c r="BY105" s="560"/>
      <c r="BZ105" s="560"/>
    </row>
    <row r="106" spans="1:78" ht="15" thickBot="1">
      <c r="A106" s="231" cm="1">
        <f t="array" ref="A106">INDEX(IMPROVE!AQ$9:AQ$52,MATCH(1,($A$40=IMPROVE!$A$9:$A$52)*($A$44=IMPROVE!$C$9:$C$52),0))</f>
        <v>9.9999999999999978E-2</v>
      </c>
      <c r="B106" s="232" cm="1">
        <f t="array" ref="B106">INDEX(IMPROVE!AR$9:AR$52,MATCH(1,($A$40=IMPROVE!$A$9:$A$52)*($A$44=IMPROVE!$C$9:$C$52),0))</f>
        <v>0.13675130434782606</v>
      </c>
      <c r="C106" s="232" cm="1">
        <f t="array" ref="C106">INDEX(IMPROVE!AS$9:AS$52,MATCH(1,($A$40=IMPROVE!$A$9:$A$52)*($A$44=IMPROVE!$C$9:$C$52),0))</f>
        <v>0.17350260869565207</v>
      </c>
      <c r="D106" s="232" cm="1">
        <f t="array" ref="D106">INDEX(IMPROVE!AT$9:AT$52,MATCH(1,($A$40=IMPROVE!$A$9:$A$52)*($A$44=IMPROVE!$C$9:$C$52),0))</f>
        <v>0.24700521739130435</v>
      </c>
      <c r="E106" s="232" cm="1">
        <f t="array" ref="E106">INDEX(IMPROVE!AU$9:AU$52,MATCH(1,($A$40=IMPROVE!$A$9:$A$52)*($A$44=IMPROVE!$C$9:$C$52),0))</f>
        <v>0.32050782608695644</v>
      </c>
      <c r="F106" s="232" cm="1">
        <f t="array" ref="F106">INDEX(IMPROVE!AV$9:AV$52,MATCH(1,($A$40=IMPROVE!$A$9:$A$52)*($A$44=IMPROVE!$C$9:$C$52),0))</f>
        <v>0.39401043478260872</v>
      </c>
      <c r="G106" s="233" cm="1">
        <f t="array" ref="G106">INDEX(IMPROVE!AW$9:AW$52,MATCH(1,($A$40=IMPROVE!$A$9:$A$52)*($A$44=IMPROVE!$C$9:$C$52),0))</f>
        <v>0.46751304347826089</v>
      </c>
      <c r="AP106" s="330"/>
      <c r="AQ106" s="330"/>
      <c r="AR106" s="330"/>
      <c r="AS106" s="330"/>
      <c r="AU106" s="330"/>
      <c r="AV106" s="330"/>
      <c r="AW106" s="330"/>
      <c r="AY106" s="330"/>
      <c r="AZ106" s="560"/>
      <c r="BA106" s="330"/>
      <c r="BB106" s="560"/>
      <c r="BC106" s="560"/>
      <c r="BD106" s="560"/>
      <c r="BE106" s="330"/>
      <c r="BF106" s="560"/>
      <c r="BG106" s="560"/>
      <c r="BH106" s="560"/>
      <c r="BI106" s="330"/>
      <c r="BJ106" s="560"/>
      <c r="BK106" s="560"/>
      <c r="BL106" s="560"/>
      <c r="BM106" s="330"/>
      <c r="BN106" s="560"/>
      <c r="BO106" s="560"/>
      <c r="BP106" s="560"/>
      <c r="BQ106" s="330"/>
      <c r="BR106" s="560"/>
      <c r="BS106" s="560"/>
      <c r="BT106" s="560"/>
      <c r="BU106" s="330"/>
      <c r="BV106" s="560"/>
      <c r="BW106" s="560"/>
      <c r="BX106" s="560"/>
      <c r="BY106" s="560"/>
      <c r="BZ106" s="560"/>
    </row>
    <row r="107" spans="1:78" ht="15" thickBot="1">
      <c r="AP107" s="330"/>
      <c r="AQ107" s="330"/>
      <c r="AR107" s="330"/>
      <c r="AS107" s="330"/>
      <c r="AU107" s="330"/>
      <c r="AV107" s="330"/>
      <c r="AW107" s="330"/>
      <c r="AY107" s="330"/>
      <c r="AZ107" s="560"/>
      <c r="BA107" s="330"/>
      <c r="BB107" s="560"/>
      <c r="BC107" s="560"/>
      <c r="BD107" s="560"/>
      <c r="BE107" s="330"/>
      <c r="BF107" s="560"/>
      <c r="BG107" s="560"/>
      <c r="BH107" s="560"/>
      <c r="BI107" s="330"/>
      <c r="BJ107" s="560"/>
      <c r="BK107" s="560"/>
      <c r="BL107" s="560"/>
      <c r="BM107" s="330"/>
      <c r="BN107" s="560"/>
      <c r="BO107" s="560"/>
      <c r="BP107" s="560"/>
      <c r="BQ107" s="330"/>
      <c r="BR107" s="560"/>
      <c r="BS107" s="560"/>
      <c r="BT107" s="560"/>
      <c r="BU107" s="330"/>
      <c r="BV107" s="560"/>
      <c r="BW107" s="560"/>
      <c r="BX107" s="560"/>
      <c r="BY107" s="560"/>
      <c r="BZ107" s="560"/>
    </row>
    <row r="108" spans="1:78">
      <c r="A108" s="228" t="s">
        <v>151</v>
      </c>
      <c r="B108" s="125"/>
      <c r="C108" s="125"/>
      <c r="D108" s="125"/>
      <c r="E108" s="125"/>
      <c r="F108" s="125"/>
      <c r="G108" s="229"/>
      <c r="AP108" s="330"/>
      <c r="AQ108" s="330"/>
      <c r="AR108" s="330"/>
      <c r="AS108" s="330"/>
      <c r="AU108" s="330"/>
      <c r="AV108" s="330"/>
      <c r="AW108" s="330"/>
      <c r="AY108" s="330"/>
      <c r="AZ108" s="560"/>
      <c r="BA108" s="330"/>
      <c r="BB108" s="560"/>
      <c r="BC108" s="560"/>
      <c r="BD108" s="560"/>
      <c r="BE108" s="330"/>
      <c r="BF108" s="560"/>
      <c r="BG108" s="560"/>
      <c r="BH108" s="560"/>
      <c r="BI108" s="330"/>
      <c r="BJ108" s="560"/>
      <c r="BK108" s="560"/>
      <c r="BL108" s="560"/>
      <c r="BM108" s="330"/>
      <c r="BN108" s="560"/>
      <c r="BO108" s="560"/>
      <c r="BP108" s="560"/>
      <c r="BQ108" s="330"/>
      <c r="BR108" s="560"/>
      <c r="BS108" s="560"/>
      <c r="BT108" s="560"/>
      <c r="BU108" s="330"/>
      <c r="BV108" s="560"/>
      <c r="BW108" s="560"/>
      <c r="BX108" s="560"/>
      <c r="BY108" s="560"/>
      <c r="BZ108" s="560"/>
    </row>
    <row r="109" spans="1:78">
      <c r="A109" s="708" t="s">
        <v>145</v>
      </c>
      <c r="B109" s="583"/>
      <c r="C109" s="583"/>
      <c r="D109" s="583"/>
      <c r="E109" s="583"/>
      <c r="F109" s="583"/>
      <c r="G109" s="709"/>
      <c r="AP109" s="330"/>
      <c r="AQ109" s="330"/>
      <c r="AR109" s="330"/>
      <c r="AS109" s="330"/>
      <c r="AU109" s="330"/>
      <c r="AV109" s="330"/>
      <c r="AW109" s="330"/>
      <c r="AY109" s="330"/>
      <c r="AZ109" s="560"/>
      <c r="BA109" s="330"/>
      <c r="BB109" s="560"/>
      <c r="BC109" s="560"/>
      <c r="BD109" s="560"/>
      <c r="BE109" s="330"/>
      <c r="BF109" s="560"/>
      <c r="BG109" s="560"/>
      <c r="BH109" s="560"/>
      <c r="BI109" s="330"/>
      <c r="BJ109" s="560"/>
      <c r="BK109" s="560"/>
      <c r="BL109" s="560"/>
      <c r="BM109" s="330"/>
      <c r="BN109" s="560"/>
      <c r="BO109" s="560"/>
      <c r="BP109" s="560"/>
      <c r="BQ109" s="330"/>
      <c r="BR109" s="560"/>
      <c r="BS109" s="560"/>
      <c r="BT109" s="560"/>
      <c r="BU109" s="330"/>
      <c r="BV109" s="560"/>
      <c r="BW109" s="560"/>
      <c r="BX109" s="560"/>
      <c r="BY109" s="560"/>
      <c r="BZ109" s="560"/>
    </row>
    <row r="110" spans="1:78" ht="15" thickBot="1">
      <c r="A110" s="230">
        <v>0</v>
      </c>
      <c r="B110" s="3">
        <v>0.1</v>
      </c>
      <c r="C110" s="3">
        <v>0.2</v>
      </c>
      <c r="D110" s="3">
        <v>0.4</v>
      </c>
      <c r="E110" s="3">
        <v>0.6</v>
      </c>
      <c r="F110" s="3">
        <v>0.8</v>
      </c>
      <c r="G110" s="85">
        <v>1</v>
      </c>
      <c r="AP110" s="330"/>
      <c r="AQ110" s="330"/>
      <c r="AR110" s="330"/>
      <c r="AS110" s="330"/>
      <c r="AU110" s="330"/>
      <c r="AV110" s="330"/>
      <c r="AW110" s="330"/>
      <c r="AY110" s="330"/>
      <c r="AZ110" s="560"/>
      <c r="BA110" s="330"/>
      <c r="BB110" s="560"/>
      <c r="BC110" s="560"/>
      <c r="BD110" s="560"/>
      <c r="BE110" s="330"/>
      <c r="BF110" s="560"/>
      <c r="BG110" s="560"/>
      <c r="BH110" s="560"/>
      <c r="BI110" s="330"/>
      <c r="BJ110" s="560"/>
      <c r="BK110" s="560"/>
      <c r="BL110" s="560"/>
      <c r="BM110" s="330"/>
      <c r="BN110" s="560"/>
      <c r="BO110" s="560"/>
      <c r="BP110" s="560"/>
      <c r="BQ110" s="330"/>
      <c r="BR110" s="560"/>
      <c r="BS110" s="560"/>
      <c r="BT110" s="560"/>
      <c r="BU110" s="330"/>
      <c r="BV110" s="560"/>
      <c r="BW110" s="560"/>
      <c r="BX110" s="560"/>
      <c r="BY110" s="560"/>
      <c r="BZ110" s="560"/>
    </row>
    <row r="111" spans="1:78" ht="15" thickBot="1">
      <c r="A111" s="231" cm="1">
        <f t="array" ref="A111">INDEX(IMPROVE!AX$9:AX$52,MATCH(1,($A$40=IMPROVE!$A$9:$A$52)*($A$44=IMPROVE!$C$9:$C$52),0))</f>
        <v>0.19999999999999996</v>
      </c>
      <c r="B111" s="232" cm="1">
        <f t="array" ref="B111">INDEX(IMPROVE!AY$9:AY$52,MATCH(1,($A$40=IMPROVE!$A$9:$A$52)*($A$44=IMPROVE!$C$9:$C$52),0))</f>
        <v>0.22675130434782598</v>
      </c>
      <c r="C111" s="232" cm="1">
        <f t="array" ref="C111">INDEX(IMPROVE!AZ$9:AZ$52,MATCH(1,($A$40=IMPROVE!$A$9:$A$52)*($A$44=IMPROVE!$C$9:$C$52),0))</f>
        <v>0.25350260869565211</v>
      </c>
      <c r="D111" s="232" cm="1">
        <f t="array" ref="D111">INDEX(IMPROVE!BA$9:BA$52,MATCH(1,($A$40=IMPROVE!$A$9:$A$52)*($A$44=IMPROVE!$C$9:$C$52),0))</f>
        <v>0.30700521739130437</v>
      </c>
      <c r="E111" s="232" cm="1">
        <f t="array" ref="E111">INDEX(IMPROVE!BB$9:BB$52,MATCH(1,($A$40=IMPROVE!$A$9:$A$52)*($A$44=IMPROVE!$C$9:$C$52),0))</f>
        <v>0.36050782608695647</v>
      </c>
      <c r="F111" s="232" cm="1">
        <f t="array" ref="F111">INDEX(IMPROVE!BC$9:BC$52,MATCH(1,($A$40=IMPROVE!$A$9:$A$52)*($A$44=IMPROVE!$C$9:$C$52),0))</f>
        <v>0.41401043478260874</v>
      </c>
      <c r="G111" s="233" cm="1">
        <f t="array" ref="G111">INDEX(IMPROVE!BD$9:BD$52,MATCH(1,($A$40=IMPROVE!$A$9:$A$52)*($A$44=IMPROVE!$C$9:$C$52),0))</f>
        <v>0.46751304347826089</v>
      </c>
      <c r="AP111" s="330"/>
      <c r="AQ111" s="330"/>
      <c r="AR111" s="330"/>
      <c r="AS111" s="330"/>
      <c r="AU111" s="330"/>
      <c r="AV111" s="330"/>
      <c r="AW111" s="330"/>
      <c r="AY111" s="330"/>
      <c r="AZ111" s="560"/>
      <c r="BA111" s="330"/>
      <c r="BB111" s="560"/>
      <c r="BC111" s="560"/>
      <c r="BD111" s="560"/>
      <c r="BE111" s="330"/>
      <c r="BF111" s="560"/>
      <c r="BG111" s="560"/>
      <c r="BH111" s="560"/>
      <c r="BI111" s="330"/>
      <c r="BJ111" s="560"/>
      <c r="BK111" s="560"/>
      <c r="BL111" s="560"/>
      <c r="BM111" s="330"/>
      <c r="BN111" s="560"/>
      <c r="BO111" s="560"/>
      <c r="BP111" s="560"/>
      <c r="BQ111" s="330"/>
      <c r="BR111" s="560"/>
      <c r="BS111" s="560"/>
      <c r="BT111" s="560"/>
      <c r="BU111" s="330"/>
      <c r="BV111" s="560"/>
      <c r="BW111" s="560"/>
      <c r="BX111" s="560"/>
      <c r="BY111" s="560"/>
      <c r="BZ111" s="560"/>
    </row>
    <row r="112" spans="1:78" ht="15" thickBot="1">
      <c r="AP112" s="330"/>
      <c r="AQ112" s="330"/>
      <c r="AR112" s="330"/>
      <c r="AS112" s="330"/>
      <c r="AU112" s="330"/>
      <c r="AV112" s="330"/>
      <c r="AW112" s="330"/>
      <c r="AY112" s="330"/>
      <c r="AZ112" s="560"/>
      <c r="BA112" s="330"/>
      <c r="BB112" s="560"/>
      <c r="BC112" s="560"/>
      <c r="BD112" s="560"/>
      <c r="BE112" s="330"/>
      <c r="BF112" s="560"/>
      <c r="BG112" s="560"/>
      <c r="BH112" s="560"/>
      <c r="BI112" s="330"/>
      <c r="BJ112" s="560"/>
      <c r="BK112" s="560"/>
      <c r="BL112" s="560"/>
      <c r="BM112" s="330"/>
      <c r="BN112" s="560"/>
      <c r="BO112" s="560"/>
      <c r="BP112" s="560"/>
      <c r="BQ112" s="330"/>
      <c r="BR112" s="560"/>
      <c r="BS112" s="560"/>
      <c r="BT112" s="560"/>
      <c r="BU112" s="330"/>
      <c r="BV112" s="560"/>
      <c r="BW112" s="560"/>
      <c r="BX112" s="560"/>
      <c r="BY112" s="560"/>
      <c r="BZ112" s="560"/>
    </row>
    <row r="113" spans="1:169">
      <c r="A113" s="228" t="s">
        <v>152</v>
      </c>
      <c r="B113" s="125"/>
      <c r="C113" s="125"/>
      <c r="D113" s="125"/>
      <c r="E113" s="125"/>
      <c r="F113" s="125"/>
      <c r="G113" s="229"/>
      <c r="AP113" s="330"/>
      <c r="AQ113" s="330"/>
      <c r="AR113" s="330"/>
      <c r="AS113" s="330"/>
      <c r="AU113" s="330"/>
      <c r="AV113" s="330"/>
      <c r="AW113" s="330"/>
      <c r="AY113" s="330"/>
      <c r="AZ113" s="560"/>
      <c r="BA113" s="330"/>
      <c r="BB113" s="560"/>
      <c r="BC113" s="560"/>
      <c r="BD113" s="560"/>
      <c r="BE113" s="330"/>
      <c r="BF113" s="560"/>
      <c r="BG113" s="560"/>
      <c r="BH113" s="560"/>
      <c r="BI113" s="330"/>
      <c r="BJ113" s="560"/>
      <c r="BK113" s="560"/>
      <c r="BL113" s="560"/>
      <c r="BM113" s="330"/>
      <c r="BN113" s="560"/>
      <c r="BO113" s="560"/>
      <c r="BP113" s="560"/>
      <c r="BQ113" s="330"/>
      <c r="BR113" s="560"/>
      <c r="BS113" s="560"/>
      <c r="BT113" s="560"/>
      <c r="BU113" s="330"/>
      <c r="BV113" s="560"/>
      <c r="BW113" s="560"/>
      <c r="BX113" s="560"/>
      <c r="BY113" s="560"/>
      <c r="BZ113" s="560"/>
    </row>
    <row r="114" spans="1:169">
      <c r="A114" s="708" t="s">
        <v>145</v>
      </c>
      <c r="B114" s="583"/>
      <c r="C114" s="583"/>
      <c r="D114" s="583"/>
      <c r="E114" s="583"/>
      <c r="F114" s="583"/>
      <c r="G114" s="709"/>
      <c r="AP114" s="330"/>
      <c r="AQ114" s="330"/>
      <c r="AR114" s="330"/>
      <c r="AS114" s="330"/>
      <c r="AU114" s="330"/>
      <c r="AV114" s="330"/>
      <c r="AW114" s="330"/>
      <c r="AY114" s="330"/>
      <c r="AZ114" s="560"/>
      <c r="BA114" s="330"/>
      <c r="BB114" s="560"/>
      <c r="BC114" s="560"/>
      <c r="BD114" s="560"/>
      <c r="BE114" s="330"/>
      <c r="BF114" s="560"/>
      <c r="BG114" s="560"/>
      <c r="BH114" s="560"/>
      <c r="BI114" s="330"/>
      <c r="BJ114" s="560"/>
      <c r="BK114" s="560"/>
      <c r="BL114" s="560"/>
      <c r="BM114" s="330"/>
      <c r="BN114" s="560"/>
      <c r="BO114" s="560"/>
      <c r="BP114" s="560"/>
      <c r="BQ114" s="330"/>
      <c r="BR114" s="560"/>
      <c r="BS114" s="560"/>
      <c r="BT114" s="560"/>
      <c r="BU114" s="330"/>
      <c r="BV114" s="560"/>
      <c r="BW114" s="560"/>
      <c r="BX114" s="560"/>
      <c r="BY114" s="560"/>
      <c r="BZ114" s="560"/>
    </row>
    <row r="115" spans="1:169" ht="15" thickBot="1">
      <c r="A115" s="230">
        <v>0</v>
      </c>
      <c r="B115" s="3">
        <v>0.1</v>
      </c>
      <c r="C115" s="3">
        <v>0.2</v>
      </c>
      <c r="D115" s="3">
        <v>0.4</v>
      </c>
      <c r="E115" s="3">
        <v>0.6</v>
      </c>
      <c r="F115" s="3">
        <v>0.8</v>
      </c>
      <c r="G115" s="85">
        <v>1</v>
      </c>
      <c r="AY115" s="330"/>
    </row>
    <row r="116" spans="1:169" ht="15" thickBot="1">
      <c r="A116" s="231" cm="1">
        <f t="array" ref="A116">INDEX(IMPROVE!BE$9:BE$52,MATCH(1,($A$40=IMPROVE!$A$9:$A$52)*($A$44=IMPROVE!$C$9:$C$52),0))</f>
        <v>0.30000000000000004</v>
      </c>
      <c r="B116" s="232" cm="1">
        <f t="array" ref="B116">INDEX(IMPROVE!BF$9:BF$52,MATCH(1,($A$40=IMPROVE!$A$9:$A$52)*($A$44=IMPROVE!$C$9:$C$52),0))</f>
        <v>0.31675130434782611</v>
      </c>
      <c r="C116" s="232" cm="1">
        <f t="array" ref="C116">INDEX(IMPROVE!BG$9:BG$52,MATCH(1,($A$40=IMPROVE!$A$9:$A$52)*($A$44=IMPROVE!$C$9:$C$52),0))</f>
        <v>0.33350260869565213</v>
      </c>
      <c r="D116" s="232" cm="1">
        <f t="array" ref="D116">INDEX(IMPROVE!BH$9:BH$52,MATCH(1,($A$40=IMPROVE!$A$9:$A$52)*($A$44=IMPROVE!$C$9:$C$52),0))</f>
        <v>0.36700521739130437</v>
      </c>
      <c r="E116" s="232" cm="1">
        <f t="array" ref="E116">INDEX(IMPROVE!BI$9:BI$52,MATCH(1,($A$40=IMPROVE!$A$9:$A$52)*($A$44=IMPROVE!$C$9:$C$52),0))</f>
        <v>0.40050782608695656</v>
      </c>
      <c r="F116" s="232" cm="1">
        <f t="array" ref="F116">INDEX(IMPROVE!BJ$9:BJ$52,MATCH(1,($A$40=IMPROVE!$A$9:$A$52)*($A$44=IMPROVE!$C$9:$C$52),0))</f>
        <v>0.4340104347826087</v>
      </c>
      <c r="G116" s="233" cm="1">
        <f t="array" ref="G116">INDEX(IMPROVE!BK$9:BK$52,MATCH(1,($A$40=IMPROVE!$A$9:$A$52)*($A$44=IMPROVE!$C$9:$C$52),0))</f>
        <v>0.46751304347826089</v>
      </c>
      <c r="AP116" s="330"/>
      <c r="AQ116" s="330"/>
      <c r="AR116" s="330"/>
      <c r="AS116" s="330"/>
      <c r="AU116" s="330"/>
      <c r="AV116" s="330"/>
      <c r="AW116" s="330"/>
      <c r="AY116" s="330"/>
      <c r="AZ116" s="330"/>
      <c r="BA116" s="330"/>
      <c r="BB116" s="330"/>
      <c r="BC116" s="330"/>
      <c r="BD116" s="330"/>
      <c r="BE116" s="330"/>
      <c r="BF116" s="330"/>
      <c r="BG116" s="330"/>
      <c r="BH116" s="330"/>
      <c r="BI116" s="330"/>
      <c r="BJ116" s="330"/>
      <c r="BK116" s="330"/>
      <c r="BL116" s="330"/>
      <c r="BM116" s="330"/>
      <c r="BN116" s="330"/>
      <c r="BO116" s="330"/>
      <c r="BP116" s="330"/>
      <c r="BQ116" s="330"/>
      <c r="BR116" s="330"/>
      <c r="BS116" s="330"/>
      <c r="BT116" s="330"/>
      <c r="BU116" s="330"/>
      <c r="BV116" s="330"/>
      <c r="BW116" s="330"/>
      <c r="BX116" s="330"/>
      <c r="BY116" s="330"/>
    </row>
    <row r="117" spans="1:169">
      <c r="AP117" s="64"/>
      <c r="AQ117" s="64"/>
      <c r="AR117" s="64"/>
      <c r="AS117" s="64"/>
      <c r="AU117" s="64"/>
      <c r="AV117" s="64"/>
      <c r="AW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row>
    <row r="118" spans="1:169">
      <c r="AP118" s="5"/>
      <c r="AQ118" s="5"/>
      <c r="AR118" s="5"/>
      <c r="AS118" s="5"/>
      <c r="AU118" s="5"/>
      <c r="AV118" s="5"/>
      <c r="AW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row>
    <row r="121" spans="1:169" ht="15" thickBot="1">
      <c r="EY121" s="72">
        <f>'1 StrategyMix for CarbonTargets'!$V$46</f>
        <v>0.8</v>
      </c>
    </row>
    <row r="122" spans="1:169" ht="72.5">
      <c r="EX122" s="228"/>
      <c r="EY122" s="125" t="s">
        <v>226</v>
      </c>
      <c r="EZ122" s="569" t="s">
        <v>227</v>
      </c>
      <c r="FA122" s="570" t="s">
        <v>218</v>
      </c>
      <c r="FB122" s="570" t="s">
        <v>224</v>
      </c>
      <c r="FC122" s="126" t="str">
        <f>HLOOKUP(FC$1,'Stress calculations'!$EY$5:$IW$40,2,FALSE)</f>
        <v>80% BEV</v>
      </c>
      <c r="FD122" s="571" t="str">
        <f>HLOOKUP(FD$1,'Stress calculations'!$EY$5:$IW$40,2,FALSE)</f>
        <v>ICE fuel efficiency@80%BEV</v>
      </c>
      <c r="FE122" s="572" t="s">
        <v>265</v>
      </c>
      <c r="FF122" s="572" t="s">
        <v>254</v>
      </c>
      <c r="FG122" s="572" t="s">
        <v>253</v>
      </c>
      <c r="FH122" s="573" t="s">
        <v>119</v>
      </c>
      <c r="FI122" s="573" t="s">
        <v>118</v>
      </c>
      <c r="FJ122" s="573" t="s">
        <v>127</v>
      </c>
      <c r="FK122" s="574" t="s">
        <v>129</v>
      </c>
      <c r="FL122" s="573" t="s">
        <v>305</v>
      </c>
      <c r="FM122" s="575" t="s">
        <v>306</v>
      </c>
    </row>
    <row r="123" spans="1:169">
      <c r="EX123" s="346">
        <v>1990</v>
      </c>
      <c r="EY123" s="5" t="e">
        <f>HLOOKUP(EY$1,'Stress calculations'!$EY$5:$IW$40,3,FALSE)</f>
        <v>#N/A</v>
      </c>
      <c r="EZ123" s="5">
        <f>HLOOKUP(EZ$1,'Stress calculations'!$EY$5:$IW$40,3,FALSE)</f>
        <v>0</v>
      </c>
      <c r="FA123" s="5">
        <f>HLOOKUP(FA$1,'Stress calculations'!$EY$5:$IW$40,3,FALSE)</f>
        <v>1</v>
      </c>
      <c r="FB123" s="5">
        <f>HLOOKUP(FB$1,'Stress calculations'!$EY$5:$IW$40,3,FALSE)</f>
        <v>0</v>
      </c>
      <c r="FC123" s="5">
        <f>HLOOKUP(FC$1,'Stress calculations'!$EY$5:$IW$40,3,FALSE)</f>
        <v>0</v>
      </c>
      <c r="FD123" s="5">
        <f>HLOOKUP(FD$1,'Stress calculations'!$EY$5:$IW$40,3,FALSE)</f>
        <v>0</v>
      </c>
      <c r="FE123" s="5">
        <f>HLOOKUP(FE$1,'Stress calculations'!$EY$5:$IW$40,3,FALSE)</f>
        <v>0</v>
      </c>
      <c r="FF123" s="5">
        <f>HLOOKUP(FF$1,'Stress calculations'!$EY$5:$IW$40,3,FALSE)</f>
        <v>0</v>
      </c>
      <c r="FG123" s="5">
        <f>HLOOKUP(FG$1,'Stress calculations'!$EY$5:$IW$40,3,FALSE)</f>
        <v>0</v>
      </c>
      <c r="FH123" s="5">
        <f>HLOOKUP(FH$1,'Stress calculations'!$EY$5:$IW$40,3,FALSE)</f>
        <v>0</v>
      </c>
      <c r="FI123" s="5">
        <f>HLOOKUP(FI$1,'Stress calculations'!$EY$5:$IW$40,3,FALSE)</f>
        <v>0</v>
      </c>
      <c r="FJ123" s="5">
        <f>HLOOKUP(FJ$1,'Stress calculations'!$EY$5:$IW$40,3,FALSE)</f>
        <v>0</v>
      </c>
      <c r="FK123" s="5">
        <f>HLOOKUP(FK$1,'Stress calculations'!$EY$5:$IW$40,3,FALSE)</f>
        <v>0</v>
      </c>
      <c r="FL123" s="3" t="e">
        <f>EY123</f>
        <v>#N/A</v>
      </c>
      <c r="FM123" s="108" t="e">
        <f>EY123</f>
        <v>#N/A</v>
      </c>
    </row>
    <row r="124" spans="1:169">
      <c r="EX124" s="89">
        <v>2000</v>
      </c>
      <c r="EY124" s="5" t="e">
        <f>HLOOKUP(EY$1,'Stress calculations'!$EY$5:$IW$40,4,FALSE)</f>
        <v>#N/A</v>
      </c>
      <c r="EZ124" s="5">
        <f>HLOOKUP(EZ$1,'Stress calculations'!$EY$5:$IW$40,4,FALSE)</f>
        <v>0</v>
      </c>
      <c r="FA124" s="5">
        <f>HLOOKUP(FA$1,'Stress calculations'!$EY$5:$IW$40,4,FALSE)</f>
        <v>0.98333333333333328</v>
      </c>
      <c r="FB124" s="5">
        <f>HLOOKUP(FB$1,'Stress calculations'!$EY$5:$IW$40,4,FALSE)</f>
        <v>0</v>
      </c>
      <c r="FC124" s="5">
        <f>HLOOKUP(FC$1,'Stress calculations'!$EY$5:$IW$40,4,FALSE)</f>
        <v>0</v>
      </c>
      <c r="FD124" s="5">
        <f>HLOOKUP(FD$1,'Stress calculations'!$EY$5:$IW$40,4,FALSE)</f>
        <v>0</v>
      </c>
      <c r="FE124" s="5">
        <f>HLOOKUP(FE$1,'Stress calculations'!$EY$5:$IW$40,4,FALSE)</f>
        <v>0</v>
      </c>
      <c r="FF124" s="5">
        <f>HLOOKUP(FF$1,'Stress calculations'!$EY$5:$IW$40,4,FALSE)</f>
        <v>0</v>
      </c>
      <c r="FG124" s="5">
        <f>HLOOKUP(FG$1,'Stress calculations'!$EY$5:$IW$40,4,FALSE)</f>
        <v>0</v>
      </c>
      <c r="FH124" s="5">
        <f>HLOOKUP(FH$1,'Stress calculations'!$EY$5:$IW$40,4,FALSE)</f>
        <v>0</v>
      </c>
      <c r="FI124" s="5">
        <f>HLOOKUP(FI$1,'Stress calculations'!$EY$5:$IW$40,4,FALSE)</f>
        <v>0</v>
      </c>
      <c r="FJ124" s="5">
        <f>HLOOKUP(FJ$1,'Stress calculations'!$EY$5:$IW$40,4,FALSE)</f>
        <v>0</v>
      </c>
      <c r="FK124" s="5">
        <f>HLOOKUP(FK$1,'Stress calculations'!$EY$5:$IW$40,4,FALSE)</f>
        <v>0</v>
      </c>
      <c r="FL124" s="3" t="e">
        <f>EY124</f>
        <v>#N/A</v>
      </c>
      <c r="FM124" s="108" t="e">
        <f>EY124</f>
        <v>#N/A</v>
      </c>
    </row>
    <row r="125" spans="1:169">
      <c r="EX125" s="346">
        <v>2010</v>
      </c>
      <c r="EY125" s="5" t="e">
        <f>HLOOKUP(EY$1,'Stress calculations'!$EY$5:$IW$40,5,FALSE)</f>
        <v>#N/A</v>
      </c>
      <c r="EZ125" s="5">
        <f>HLOOKUP(EZ$1,'Stress calculations'!$EY$5:$IW$40,5,FALSE)</f>
        <v>0</v>
      </c>
      <c r="FA125" s="5">
        <f>HLOOKUP(FA$1,'Stress calculations'!$EY$5:$IW$40,5,FALSE)</f>
        <v>0.96666666666666656</v>
      </c>
      <c r="FB125" s="5">
        <f>HLOOKUP(FB$1,'Stress calculations'!$EY$5:$IW$40,5,FALSE)</f>
        <v>0</v>
      </c>
      <c r="FC125" s="5">
        <f>HLOOKUP(FC$1,'Stress calculations'!$EY$5:$IW$40,5,FALSE)</f>
        <v>0</v>
      </c>
      <c r="FD125" s="5">
        <f>HLOOKUP(FD$1,'Stress calculations'!$EY$5:$IW$40,5,FALSE)</f>
        <v>0</v>
      </c>
      <c r="FE125" s="5">
        <f>HLOOKUP(FE$1,'Stress calculations'!$EY$5:$IW$40,5,FALSE)</f>
        <v>0</v>
      </c>
      <c r="FF125" s="5">
        <f>HLOOKUP(FF$1,'Stress calculations'!$EY$5:$IW$40,5,FALSE)</f>
        <v>0</v>
      </c>
      <c r="FG125" s="5">
        <f>HLOOKUP(FG$1,'Stress calculations'!$EY$5:$IW$40,5,FALSE)</f>
        <v>0</v>
      </c>
      <c r="FH125" s="5">
        <f>HLOOKUP(FH$1,'Stress calculations'!$EY$5:$IW$40,5,FALSE)</f>
        <v>0</v>
      </c>
      <c r="FI125" s="5">
        <f>HLOOKUP(FI$1,'Stress calculations'!$EY$5:$IW$40,5,FALSE)</f>
        <v>0</v>
      </c>
      <c r="FJ125" s="5">
        <f>HLOOKUP(FJ$1,'Stress calculations'!$EY$5:$IW$40,5,FALSE)</f>
        <v>0</v>
      </c>
      <c r="FK125" s="5">
        <f>HLOOKUP(FK$1,'Stress calculations'!$EY$5:$IW$40,5,FALSE)</f>
        <v>0</v>
      </c>
      <c r="FL125" s="3" t="e">
        <f>EY125</f>
        <v>#N/A</v>
      </c>
      <c r="FM125" s="108" t="e">
        <f>EY125</f>
        <v>#N/A</v>
      </c>
    </row>
    <row r="126" spans="1:169">
      <c r="EX126" s="346">
        <v>2020</v>
      </c>
      <c r="EY126" s="5" t="e">
        <f>HLOOKUP(EY$1,'Stress calculations'!$EY$5:$IW$40,6,FALSE)</f>
        <v>#N/A</v>
      </c>
      <c r="EZ126" s="5">
        <f>HLOOKUP(EZ$1,'Stress calculations'!$EY$5:$IW$40,6,FALSE)</f>
        <v>0.95</v>
      </c>
      <c r="FA126" s="5">
        <f>HLOOKUP(FA$1,'Stress calculations'!$EY$5:$IW$40,6,FALSE)</f>
        <v>0.95</v>
      </c>
      <c r="FB126" s="5">
        <f>HLOOKUP(FB$1,'Stress calculations'!$EY$5:$IW$40,6,FALSE)</f>
        <v>0</v>
      </c>
      <c r="FC126" s="5">
        <f>HLOOKUP(FC$1,'Stress calculations'!$EY$5:$IW$40,6,FALSE)</f>
        <v>0</v>
      </c>
      <c r="FD126" s="5">
        <f>HLOOKUP(FD$1,'Stress calculations'!$EY$5:$IW$40,6,FALSE)</f>
        <v>0</v>
      </c>
      <c r="FE126" s="5">
        <f>HLOOKUP(FE$1,'Stress calculations'!$EY$5:$IW$40,6,FALSE)</f>
        <v>0</v>
      </c>
      <c r="FF126" s="5">
        <f>HLOOKUP(FF$1,'Stress calculations'!$EY$5:$IW$40,6,FALSE)</f>
        <v>0</v>
      </c>
      <c r="FG126" s="5">
        <f>HLOOKUP(FG$1,'Stress calculations'!$EY$5:$IW$40,6,FALSE)</f>
        <v>0</v>
      </c>
      <c r="FH126" s="5">
        <f>HLOOKUP(FH$1,'Stress calculations'!$EY$5:$IW$40,6,FALSE)</f>
        <v>0</v>
      </c>
      <c r="FI126" s="5">
        <f>HLOOKUP(FI$1,'Stress calculations'!$EY$5:$IW$40,6,FALSE)</f>
        <v>0</v>
      </c>
      <c r="FJ126" s="5">
        <f>HLOOKUP(FJ$1,'Stress calculations'!$EY$5:$IW$40,6,FALSE)</f>
        <v>0</v>
      </c>
      <c r="FK126" s="5">
        <f>HLOOKUP(FK$1,'Stress calculations'!$EY$5:$IW$40,6,FALSE)</f>
        <v>0</v>
      </c>
      <c r="FL126" s="5" t="e">
        <f>EY126</f>
        <v>#N/A</v>
      </c>
      <c r="FM126" s="108">
        <f>EZ126</f>
        <v>0.95</v>
      </c>
    </row>
    <row r="127" spans="1:169">
      <c r="EX127" s="89">
        <v>2021</v>
      </c>
      <c r="EY127" s="5" t="e">
        <f>HLOOKUP(EY$1,'Stress calculations'!$EY$5:$IW$40,7,FALSE)</f>
        <v>#N/A</v>
      </c>
      <c r="EZ127" s="5">
        <f>HLOOKUP(EZ$1,'Stress calculations'!$EY$5:$IW$40,7,FALSE)</f>
        <v>0</v>
      </c>
      <c r="FA127" s="5">
        <f>HLOOKUP(FA$1,'Stress calculations'!$EY$5:$IW$40,7,FALSE)</f>
        <v>0.937254185620915</v>
      </c>
      <c r="FB127" s="5">
        <f>HLOOKUP(FB$1,'Stress calculations'!$EY$5:$IW$40,7,FALSE)</f>
        <v>0.05</v>
      </c>
      <c r="FC127" s="5">
        <f>HLOOKUP(FC$1,'Stress calculations'!$EY$5:$IW$40,7,FALSE)</f>
        <v>0</v>
      </c>
      <c r="FD127" s="5">
        <f>HLOOKUP(FD$1,'Stress calculations'!$EY$5:$IW$40,7,FALSE)</f>
        <v>5.0238588235294096E-3</v>
      </c>
      <c r="FE127" s="5">
        <f>HLOOKUP(FE$1,'Stress calculations'!$EY$5:$IW$40,7,FALSE)</f>
        <v>8.229683698296875E-3</v>
      </c>
      <c r="FF127" s="5">
        <f>HLOOKUP(FF$1,'Stress calculations'!$EY$5:$IW$40,7,FALSE)</f>
        <v>3.50251419302519E-3</v>
      </c>
      <c r="FG127" s="5">
        <f>HLOOKUP(FG$1,'Stress calculations'!$EY$5:$IW$40,7,FALSE)</f>
        <v>1.6900243309002421E-3</v>
      </c>
      <c r="FH127" s="5">
        <f>HLOOKUP(FH$1,'Stress calculations'!$EY$5:$IW$40,7,FALSE)</f>
        <v>0</v>
      </c>
      <c r="FI127" s="5">
        <f>HLOOKUP(FI$1,'Stress calculations'!$EY$5:$IW$40,7,FALSE)</f>
        <v>0</v>
      </c>
      <c r="FJ127" s="5">
        <f>HLOOKUP(FJ$1,'Stress calculations'!$EY$5:$IW$40,7,FALSE)</f>
        <v>0</v>
      </c>
      <c r="FK127" s="5">
        <f>HLOOKUP(FK$1,'Stress calculations'!$EY$5:$IW$40,7,FALSE)</f>
        <v>9.6639999999996061E-4</v>
      </c>
      <c r="FL127" s="64" t="e">
        <f>FL126-((FL$126-0.1)/30)</f>
        <v>#N/A</v>
      </c>
      <c r="FM127" s="280">
        <f>FM126-((FM$126-0.45)/10)</f>
        <v>0.89999999999999991</v>
      </c>
    </row>
    <row r="128" spans="1:169">
      <c r="EX128" s="89">
        <v>2022</v>
      </c>
      <c r="EY128" s="5" t="e">
        <f>HLOOKUP(EY$1,'Stress calculations'!$EY$5:$IW$40,8,FALSE)</f>
        <v>#N/A</v>
      </c>
      <c r="EZ128" s="5">
        <f>HLOOKUP(EZ$1,'Stress calculations'!$EY$5:$IW$40,8,FALSE)</f>
        <v>0</v>
      </c>
      <c r="FA128" s="5">
        <f>HLOOKUP(FA$1,'Stress calculations'!$EY$5:$IW$40,8,FALSE)</f>
        <v>0.92425125228758165</v>
      </c>
      <c r="FB128" s="5">
        <f>HLOOKUP(FB$1,'Stress calculations'!$EY$5:$IW$40,8,FALSE)</f>
        <v>0.05</v>
      </c>
      <c r="FC128" s="5">
        <f>HLOOKUP(FC$1,'Stress calculations'!$EY$5:$IW$40,8,FALSE)</f>
        <v>0</v>
      </c>
      <c r="FD128" s="5">
        <f>HLOOKUP(FD$1,'Stress calculations'!$EY$5:$IW$40,8,FALSE)</f>
        <v>1.0114258823529409E-2</v>
      </c>
      <c r="FE128" s="5">
        <f>HLOOKUP(FE$1,'Stress calculations'!$EY$5:$IW$40,8,FALSE)</f>
        <v>1.6568369829683665E-2</v>
      </c>
      <c r="FF128" s="5">
        <f>HLOOKUP(FF$1,'Stress calculations'!$EY$5:$IW$40,8,FALSE)</f>
        <v>7.0514193025141784E-3</v>
      </c>
      <c r="FG128" s="5">
        <f>HLOOKUP(FG$1,'Stress calculations'!$EY$5:$IW$40,8,FALSE)</f>
        <v>3.4024330900243294E-3</v>
      </c>
      <c r="FH128" s="5">
        <f>HLOOKUP(FH$1,'Stress calculations'!$EY$5:$IW$40,8,FALSE)</f>
        <v>0</v>
      </c>
      <c r="FI128" s="5">
        <f>HLOOKUP(FI$1,'Stress calculations'!$EY$5:$IW$40,8,FALSE)</f>
        <v>0</v>
      </c>
      <c r="FJ128" s="5">
        <f>HLOOKUP(FJ$1,'Stress calculations'!$EY$5:$IW$40,8,FALSE)</f>
        <v>0</v>
      </c>
      <c r="FK128" s="5">
        <f>HLOOKUP(FK$1,'Stress calculations'!$EY$5:$IW$40,8,FALSE)</f>
        <v>1.9456000000000334E-3</v>
      </c>
      <c r="FL128" s="64" t="e">
        <f t="shared" ref="FL128:FL156" si="204">FL127-((FL$126-0.1)/30)</f>
        <v>#N/A</v>
      </c>
      <c r="FM128" s="280">
        <f t="shared" ref="FM128:FM136" si="205">FM127-((FM$126-0.45)/10)</f>
        <v>0.84999999999999987</v>
      </c>
    </row>
    <row r="129" spans="154:169">
      <c r="EX129" s="89">
        <v>2023</v>
      </c>
      <c r="EY129" s="5" t="e">
        <f>HLOOKUP(EY$1,'Stress calculations'!$EY$5:$IW$40,9,FALSE)</f>
        <v>#N/A</v>
      </c>
      <c r="EZ129" s="5">
        <f>HLOOKUP(EZ$1,'Stress calculations'!$EY$5:$IW$40,9,FALSE)</f>
        <v>0</v>
      </c>
      <c r="FA129" s="5">
        <f>HLOOKUP(FA$1,'Stress calculations'!$EY$5:$IW$40,9,FALSE)</f>
        <v>0.90478872812243472</v>
      </c>
      <c r="FB129" s="5">
        <f>HLOOKUP(FB$1,'Stress calculations'!$EY$5:$IW$40,9,FALSE)</f>
        <v>0.05</v>
      </c>
      <c r="FC129" s="5">
        <f>HLOOKUP(FC$1,'Stress calculations'!$EY$5:$IW$40,9,FALSE)</f>
        <v>9.8501118775652183E-3</v>
      </c>
      <c r="FD129" s="5">
        <f>HLOOKUP(FD$1,'Stress calculations'!$EY$5:$IW$40,9,FALSE)</f>
        <v>1.1368559999999996E-2</v>
      </c>
      <c r="FE129" s="5">
        <f>HLOOKUP(FE$1,'Stress calculations'!$EY$5:$IW$40,9,FALSE)</f>
        <v>2.501605839416059E-2</v>
      </c>
      <c r="FF129" s="5">
        <f>HLOOKUP(FF$1,'Stress calculations'!$EY$5:$IW$40,9,FALSE)</f>
        <v>1.0646715328467187E-2</v>
      </c>
      <c r="FG129" s="5">
        <f>HLOOKUP(FG$1,'Stress calculations'!$EY$5:$IW$40,9,FALSE)</f>
        <v>5.1372262773722597E-3</v>
      </c>
      <c r="FH129" s="5">
        <f>HLOOKUP(FH$1,'Stress calculations'!$EY$5:$IW$40,9,FALSE)</f>
        <v>0</v>
      </c>
      <c r="FI129" s="5">
        <f>HLOOKUP(FI$1,'Stress calculations'!$EY$5:$IW$40,9,FALSE)</f>
        <v>0</v>
      </c>
      <c r="FJ129" s="5">
        <f>HLOOKUP(FJ$1,'Stress calculations'!$EY$5:$IW$40,9,FALSE)</f>
        <v>2.5499999999997194E-4</v>
      </c>
      <c r="FK129" s="5">
        <f>HLOOKUP(FK$1,'Stress calculations'!$EY$5:$IW$40,9,FALSE)</f>
        <v>2.9375999999999938E-3</v>
      </c>
      <c r="FL129" s="64" t="e">
        <f t="shared" si="204"/>
        <v>#N/A</v>
      </c>
      <c r="FM129" s="280">
        <f t="shared" si="205"/>
        <v>0.79999999999999982</v>
      </c>
    </row>
    <row r="130" spans="154:169">
      <c r="EX130" s="89">
        <v>2024</v>
      </c>
      <c r="EY130" s="5" t="e">
        <f>HLOOKUP(EY$1,'Stress calculations'!$EY$5:$IW$40,10,FALSE)</f>
        <v>#N/A</v>
      </c>
      <c r="EZ130" s="5">
        <f>HLOOKUP(EZ$1,'Stress calculations'!$EY$5:$IW$40,10,FALSE)</f>
        <v>0</v>
      </c>
      <c r="FA130" s="5">
        <f>HLOOKUP(FA$1,'Stress calculations'!$EY$5:$IW$40,10,FALSE)</f>
        <v>0.88441116182762824</v>
      </c>
      <c r="FB130" s="5">
        <f>HLOOKUP(FB$1,'Stress calculations'!$EY$5:$IW$40,10,FALSE)</f>
        <v>0.05</v>
      </c>
      <c r="FC130" s="5">
        <f>HLOOKUP(FC$1,'Stress calculations'!$EY$5:$IW$40,10,FALSE)</f>
        <v>2.0405828499169085E-2</v>
      </c>
      <c r="FD130" s="5">
        <f>HLOOKUP(FD$1,'Stress calculations'!$EY$5:$IW$40,10,FALSE)</f>
        <v>1.2638387450980386E-2</v>
      </c>
      <c r="FE130" s="5">
        <f>HLOOKUP(FE$1,'Stress calculations'!$EY$5:$IW$40,10,FALSE)</f>
        <v>3.3572749391727538E-2</v>
      </c>
      <c r="FF130" s="5">
        <f>HLOOKUP(FF$1,'Stress calculations'!$EY$5:$IW$40,10,FALSE)</f>
        <v>1.4288402270883991E-2</v>
      </c>
      <c r="FG130" s="5">
        <f>HLOOKUP(FG$1,'Stress calculations'!$EY$5:$IW$40,10,FALSE)</f>
        <v>6.894403892944035E-3</v>
      </c>
      <c r="FH130" s="5">
        <f>HLOOKUP(FH$1,'Stress calculations'!$EY$5:$IW$40,10,FALSE)</f>
        <v>0</v>
      </c>
      <c r="FI130" s="5">
        <f>HLOOKUP(FI$1,'Stress calculations'!$EY$5:$IW$40,10,FALSE)</f>
        <v>0</v>
      </c>
      <c r="FJ130" s="5">
        <f>HLOOKUP(FJ$1,'Stress calculations'!$EY$5:$IW$40,10,FALSE)</f>
        <v>5.1333333333327682E-4</v>
      </c>
      <c r="FK130" s="5">
        <f>HLOOKUP(FK$1,'Stress calculations'!$EY$5:$IW$40,10,FALSE)</f>
        <v>3.9423999999999536E-3</v>
      </c>
      <c r="FL130" s="64" t="e">
        <f t="shared" si="204"/>
        <v>#N/A</v>
      </c>
      <c r="FM130" s="280">
        <f t="shared" si="205"/>
        <v>0.74999999999999978</v>
      </c>
    </row>
    <row r="131" spans="154:169">
      <c r="EX131" s="89">
        <v>2025</v>
      </c>
      <c r="EY131" s="5" t="e">
        <f>HLOOKUP(EY$1,'Stress calculations'!$EY$5:$IW$40,11,FALSE)</f>
        <v>#N/A</v>
      </c>
      <c r="EZ131" s="5">
        <f>HLOOKUP(EZ$1,'Stress calculations'!$EY$5:$IW$40,11,FALSE)</f>
        <v>0</v>
      </c>
      <c r="FA131" s="5">
        <f>HLOOKUP(FA$1,'Stress calculations'!$EY$5:$IW$40,11,FALSE)</f>
        <v>0.86221308539149655</v>
      </c>
      <c r="FB131" s="5">
        <f>HLOOKUP(FB$1,'Stress calculations'!$EY$5:$IW$40,11,FALSE)</f>
        <v>0.05</v>
      </c>
      <c r="FC131" s="5">
        <f>HLOOKUP(FC$1,'Stress calculations'!$EY$5:$IW$40,11,FALSE)</f>
        <v>3.1678387107246381E-2</v>
      </c>
      <c r="FD131" s="5">
        <f>HLOOKUP(FD$1,'Stress calculations'!$EY$5:$IW$40,11,FALSE)</f>
        <v>1.3923741176470583E-2</v>
      </c>
      <c r="FE131" s="5">
        <f>HLOOKUP(FE$1,'Stress calculations'!$EY$5:$IW$40,11,FALSE)</f>
        <v>4.2238442822384405E-2</v>
      </c>
      <c r="FF131" s="5">
        <f>HLOOKUP(FF$1,'Stress calculations'!$EY$5:$IW$40,11,FALSE)</f>
        <v>1.797648012976482E-2</v>
      </c>
      <c r="FG131" s="5">
        <f>HLOOKUP(FG$1,'Stress calculations'!$EY$5:$IW$40,11,FALSE)</f>
        <v>8.6739659367396551E-3</v>
      </c>
      <c r="FH131" s="5">
        <f>HLOOKUP(FH$1,'Stress calculations'!$EY$5:$IW$40,11,FALSE)</f>
        <v>0</v>
      </c>
      <c r="FI131" s="5">
        <f>HLOOKUP(FI$1,'Stress calculations'!$EY$5:$IW$40,11,FALSE)</f>
        <v>8.9423076923081206E-4</v>
      </c>
      <c r="FJ131" s="5">
        <f>HLOOKUP(FJ$1,'Stress calculations'!$EY$5:$IW$40,11,FALSE)</f>
        <v>7.7500000000002946E-4</v>
      </c>
      <c r="FK131" s="5">
        <f>HLOOKUP(FK$1,'Stress calculations'!$EY$5:$IW$40,11,FALSE)</f>
        <v>4.9600000000000278E-3</v>
      </c>
      <c r="FL131" s="64" t="e">
        <f t="shared" si="204"/>
        <v>#N/A</v>
      </c>
      <c r="FM131" s="280">
        <f t="shared" si="205"/>
        <v>0.69999999999999973</v>
      </c>
    </row>
    <row r="132" spans="154:169">
      <c r="EX132" s="89">
        <v>2026</v>
      </c>
      <c r="EY132" s="5" t="e">
        <f>HLOOKUP(EY$1,'Stress calculations'!$EY$5:$IW$40,12,FALSE)</f>
        <v>#N/A</v>
      </c>
      <c r="EZ132" s="5">
        <f>HLOOKUP(EZ$1,'Stress calculations'!$EY$5:$IW$40,12,FALSE)</f>
        <v>0</v>
      </c>
      <c r="FA132" s="5">
        <f>HLOOKUP(FA$1,'Stress calculations'!$EY$5:$IW$40,12,FALSE)</f>
        <v>0.83906595387929761</v>
      </c>
      <c r="FB132" s="5">
        <f>HLOOKUP(FB$1,'Stress calculations'!$EY$5:$IW$40,12,FALSE)</f>
        <v>0.05</v>
      </c>
      <c r="FC132" s="5">
        <f>HLOOKUP(FC$1,'Stress calculations'!$EY$5:$IW$40,12,FALSE)</f>
        <v>4.3679024944231891E-2</v>
      </c>
      <c r="FD132" s="5">
        <f>HLOOKUP(FD$1,'Stress calculations'!$EY$5:$IW$40,12,FALSE)</f>
        <v>1.5224621176470582E-2</v>
      </c>
      <c r="FE132" s="5">
        <f>HLOOKUP(FE$1,'Stress calculations'!$EY$5:$IW$40,12,FALSE)</f>
        <v>5.1013138686131401E-2</v>
      </c>
      <c r="FF132" s="5">
        <f>HLOOKUP(FF$1,'Stress calculations'!$EY$5:$IW$40,12,FALSE)</f>
        <v>2.1710948905109443E-2</v>
      </c>
      <c r="FG132" s="5">
        <f>HLOOKUP(FG$1,'Stress calculations'!$EY$5:$IW$40,12,FALSE)</f>
        <v>1.0475912408759119E-2</v>
      </c>
      <c r="FH132" s="5">
        <f>HLOOKUP(FH$1,'Stress calculations'!$EY$5:$IW$40,12,FALSE)</f>
        <v>0</v>
      </c>
      <c r="FI132" s="5">
        <f>HLOOKUP(FI$1,'Stress calculations'!$EY$5:$IW$40,12,FALSE)</f>
        <v>1.7999999999999707E-3</v>
      </c>
      <c r="FJ132" s="5">
        <f>HLOOKUP(FJ$1,'Stress calculations'!$EY$5:$IW$40,12,FALSE)</f>
        <v>1.040000000000001E-3</v>
      </c>
      <c r="FK132" s="5">
        <f>HLOOKUP(FK$1,'Stress calculations'!$EY$5:$IW$40,12,FALSE)</f>
        <v>5.9903999999999869E-3</v>
      </c>
      <c r="FL132" s="64" t="e">
        <f t="shared" si="204"/>
        <v>#N/A</v>
      </c>
      <c r="FM132" s="280">
        <f t="shared" si="205"/>
        <v>0.64999999999999969</v>
      </c>
    </row>
    <row r="133" spans="154:169">
      <c r="EX133" s="89">
        <v>2027</v>
      </c>
      <c r="EY133" s="5" t="e">
        <f>HLOOKUP(EY$1,'Stress calculations'!$EY$5:$IW$40,13,FALSE)</f>
        <v>#N/A</v>
      </c>
      <c r="EZ133" s="5">
        <f>HLOOKUP(EZ$1,'Stress calculations'!$EY$5:$IW$40,13,FALSE)</f>
        <v>0</v>
      </c>
      <c r="FA133" s="5">
        <f>HLOOKUP(FA$1,'Stress calculations'!$EY$5:$IW$40,13,FALSE)</f>
        <v>0.81495853004859597</v>
      </c>
      <c r="FB133" s="5">
        <f>HLOOKUP(FB$1,'Stress calculations'!$EY$5:$IW$40,13,FALSE)</f>
        <v>0.05</v>
      </c>
      <c r="FC133" s="5">
        <f>HLOOKUP(FC$1,'Stress calculations'!$EY$5:$IW$40,13,FALSE)</f>
        <v>5.641897925256039E-2</v>
      </c>
      <c r="FD133" s="5">
        <f>HLOOKUP(FD$1,'Stress calculations'!$EY$5:$IW$40,13,FALSE)</f>
        <v>1.6541027450980381E-2</v>
      </c>
      <c r="FE133" s="5">
        <f>HLOOKUP(FE$1,'Stress calculations'!$EY$5:$IW$40,13,FALSE)</f>
        <v>5.9896836982968417E-2</v>
      </c>
      <c r="FF133" s="5">
        <f>HLOOKUP(FF$1,'Stress calculations'!$EY$5:$IW$40,13,FALSE)</f>
        <v>2.5491808596918089E-2</v>
      </c>
      <c r="FG133" s="5">
        <f>HLOOKUP(FG$1,'Stress calculations'!$EY$5:$IW$40,13,FALSE)</f>
        <v>1.2300243309002425E-2</v>
      </c>
      <c r="FH133" s="5">
        <f>HLOOKUP(FH$1,'Stress calculations'!$EY$5:$IW$40,13,FALSE)</f>
        <v>0</v>
      </c>
      <c r="FI133" s="5">
        <f>HLOOKUP(FI$1,'Stress calculations'!$EY$5:$IW$40,13,FALSE)</f>
        <v>2.7173076923077059E-3</v>
      </c>
      <c r="FJ133" s="5">
        <f>HLOOKUP(FJ$1,'Stress calculations'!$EY$5:$IW$40,13,FALSE)</f>
        <v>1.3083333333333055E-3</v>
      </c>
      <c r="FK133" s="5">
        <f>HLOOKUP(FK$1,'Stress calculations'!$EY$5:$IW$40,13,FALSE)</f>
        <v>7.0335999999999455E-3</v>
      </c>
      <c r="FL133" s="64" t="e">
        <f t="shared" si="204"/>
        <v>#N/A</v>
      </c>
      <c r="FM133" s="280">
        <f t="shared" si="205"/>
        <v>0.59999999999999964</v>
      </c>
    </row>
    <row r="134" spans="154:169">
      <c r="EX134" s="89">
        <v>2028</v>
      </c>
      <c r="EY134" s="5" t="e">
        <f>HLOOKUP(EY$1,'Stress calculations'!$EY$5:$IW$40,14,FALSE)</f>
        <v>#N/A</v>
      </c>
      <c r="EZ134" s="5">
        <f>HLOOKUP(EZ$1,'Stress calculations'!$EY$5:$IW$40,14,FALSE)</f>
        <v>0</v>
      </c>
      <c r="FA134" s="5">
        <f>HLOOKUP(FA$1,'Stress calculations'!$EY$5:$IW$40,14,FALSE)</f>
        <v>0.78987957665695718</v>
      </c>
      <c r="FB134" s="5">
        <f>HLOOKUP(FB$1,'Stress calculations'!$EY$5:$IW$40,14,FALSE)</f>
        <v>0.05</v>
      </c>
      <c r="FC134" s="5">
        <f>HLOOKUP(FC$1,'Stress calculations'!$EY$5:$IW$40,14,FALSE)</f>
        <v>6.9909487274666657E-2</v>
      </c>
      <c r="FD134" s="5">
        <f>HLOOKUP(FD$1,'Stress calculations'!$EY$5:$IW$40,14,FALSE)</f>
        <v>1.7872959999999986E-2</v>
      </c>
      <c r="FE134" s="5">
        <f>HLOOKUP(FE$1,'Stress calculations'!$EY$5:$IW$40,14,FALSE)</f>
        <v>6.8889537712895327E-2</v>
      </c>
      <c r="FF134" s="5">
        <f>HLOOKUP(FF$1,'Stress calculations'!$EY$5:$IW$40,14,FALSE)</f>
        <v>2.9319059205190637E-2</v>
      </c>
      <c r="FG134" s="5">
        <f>HLOOKUP(FG$1,'Stress calculations'!$EY$5:$IW$40,14,FALSE)</f>
        <v>1.4146958637469575E-2</v>
      </c>
      <c r="FH134" s="5">
        <f>HLOOKUP(FH$1,'Stress calculations'!$EY$5:$IW$40,14,FALSE)</f>
        <v>0</v>
      </c>
      <c r="FI134" s="5">
        <f>HLOOKUP(FI$1,'Stress calculations'!$EY$5:$IW$40,14,FALSE)</f>
        <v>3.6461538461539022E-3</v>
      </c>
      <c r="FJ134" s="5">
        <f>HLOOKUP(FJ$1,'Stress calculations'!$EY$5:$IW$40,14,FALSE)</f>
        <v>1.5799999999999423E-3</v>
      </c>
      <c r="FK134" s="5">
        <f>HLOOKUP(FK$1,'Stress calculations'!$EY$5:$IW$40,14,FALSE)</f>
        <v>8.089600000000018E-3</v>
      </c>
      <c r="FL134" s="64" t="e">
        <f t="shared" si="204"/>
        <v>#N/A</v>
      </c>
      <c r="FM134" s="280">
        <f t="shared" si="205"/>
        <v>0.5499999999999996</v>
      </c>
    </row>
    <row r="135" spans="154:169">
      <c r="EX135" s="89">
        <v>2029</v>
      </c>
      <c r="EY135" s="5" t="e">
        <f>HLOOKUP(EY$1,'Stress calculations'!$EY$5:$IW$40,15,FALSE)</f>
        <v>#N/A</v>
      </c>
      <c r="EZ135" s="5">
        <f>HLOOKUP(EZ$1,'Stress calculations'!$EY$5:$IW$40,15,FALSE)</f>
        <v>0</v>
      </c>
      <c r="FA135" s="5">
        <f>HLOOKUP(FA$1,'Stress calculations'!$EY$5:$IW$40,15,FALSE)</f>
        <v>0.76381785646194666</v>
      </c>
      <c r="FB135" s="5">
        <f>HLOOKUP(FB$1,'Stress calculations'!$EY$5:$IW$40,15,FALSE)</f>
        <v>0.05</v>
      </c>
      <c r="FC135" s="5">
        <f>HLOOKUP(FC$1,'Stress calculations'!$EY$5:$IW$40,15,FALSE)</f>
        <v>8.416178625298551E-2</v>
      </c>
      <c r="FD135" s="5">
        <f>HLOOKUP(FD$1,'Stress calculations'!$EY$5:$IW$40,15,FALSE)</f>
        <v>1.9220418823529397E-2</v>
      </c>
      <c r="FE135" s="5">
        <f>HLOOKUP(FE$1,'Stress calculations'!$EY$5:$IW$40,15,FALSE)</f>
        <v>7.7991240875912415E-2</v>
      </c>
      <c r="FF135" s="5">
        <f>HLOOKUP(FF$1,'Stress calculations'!$EY$5:$IW$40,15,FALSE)</f>
        <v>3.3192700729926986E-2</v>
      </c>
      <c r="FG135" s="5">
        <f>HLOOKUP(FG$1,'Stress calculations'!$EY$5:$IW$40,15,FALSE)</f>
        <v>1.6016058394160572E-2</v>
      </c>
      <c r="FH135" s="5">
        <f>HLOOKUP(FH$1,'Stress calculations'!$EY$5:$IW$40,15,FALSE)</f>
        <v>0</v>
      </c>
      <c r="FI135" s="5">
        <f>HLOOKUP(FI$1,'Stress calculations'!$EY$5:$IW$40,15,FALSE)</f>
        <v>4.5865384615384449E-3</v>
      </c>
      <c r="FJ135" s="5">
        <f>HLOOKUP(FJ$1,'Stress calculations'!$EY$5:$IW$40,15,FALSE)</f>
        <v>1.8550000000000307E-3</v>
      </c>
      <c r="FK135" s="5">
        <f>HLOOKUP(FK$1,'Stress calculations'!$EY$5:$IW$40,15,FALSE)</f>
        <v>9.158399999999978E-3</v>
      </c>
      <c r="FL135" s="64" t="e">
        <f t="shared" si="204"/>
        <v>#N/A</v>
      </c>
      <c r="FM135" s="280">
        <f t="shared" si="205"/>
        <v>0.49999999999999961</v>
      </c>
    </row>
    <row r="136" spans="154:169">
      <c r="EX136" s="89">
        <v>2030</v>
      </c>
      <c r="EY136" s="5" t="e">
        <f>HLOOKUP(EY$1,'Stress calculations'!$EY$5:$IW$40,16,FALSE)</f>
        <v>#N/A</v>
      </c>
      <c r="EZ136" s="5">
        <f>HLOOKUP(EZ$1,'Stress calculations'!$EY$5:$IW$40,16,FALSE)</f>
        <v>0</v>
      </c>
      <c r="FA136" s="5">
        <f>HLOOKUP(FA$1,'Stress calculations'!$EY$5:$IW$40,16,FALSE)</f>
        <v>0.73333356079255774</v>
      </c>
      <c r="FB136" s="5">
        <f>HLOOKUP(FB$1,'Stress calculations'!$EY$5:$IW$40,16,FALSE)</f>
        <v>0.05</v>
      </c>
      <c r="FC136" s="5">
        <f>HLOOKUP(FC$1,'Stress calculations'!$EY$5:$IW$40,16,FALSE)</f>
        <v>9.9187113429951707E-2</v>
      </c>
      <c r="FD136" s="5">
        <f>HLOOKUP(FD$1,'Stress calculations'!$EY$5:$IW$40,16,FALSE)</f>
        <v>2.0583403921568617E-2</v>
      </c>
      <c r="FE136" s="5">
        <f>HLOOKUP(FE$1,'Stress calculations'!$EY$5:$IW$40,16,FALSE)</f>
        <v>8.7201946472019398E-2</v>
      </c>
      <c r="FF136" s="5">
        <f>HLOOKUP(FF$1,'Stress calculations'!$EY$5:$IW$40,16,FALSE)</f>
        <v>3.7112733171127371E-2</v>
      </c>
      <c r="FG136" s="5">
        <f>HLOOKUP(FG$1,'Stress calculations'!$EY$5:$IW$40,16,FALSE)</f>
        <v>1.7907542579075415E-2</v>
      </c>
      <c r="FH136" s="5">
        <f>HLOOKUP(FH$1,'Stress calculations'!$EY$5:$IW$40,16,FALSE)</f>
        <v>3.4285714285714401E-3</v>
      </c>
      <c r="FI136" s="5">
        <f>HLOOKUP(FI$1,'Stress calculations'!$EY$5:$IW$40,16,FALSE)</f>
        <v>5.5384615384615659E-3</v>
      </c>
      <c r="FJ136" s="5">
        <f>HLOOKUP(FJ$1,'Stress calculations'!$EY$5:$IW$40,16,FALSE)</f>
        <v>2.1333333333333352E-3</v>
      </c>
      <c r="FK136" s="5">
        <f>HLOOKUP(FK$1,'Stress calculations'!$EY$5:$IW$40,16,FALSE)</f>
        <v>1.0240000000000056E-2</v>
      </c>
      <c r="FL136" s="64" t="e">
        <f t="shared" si="204"/>
        <v>#N/A</v>
      </c>
      <c r="FM136" s="280">
        <f t="shared" si="205"/>
        <v>0.44999999999999962</v>
      </c>
    </row>
    <row r="137" spans="154:169">
      <c r="EX137" s="89">
        <v>2031</v>
      </c>
      <c r="EY137" s="5" t="e">
        <f>HLOOKUP(EY$1,'Stress calculations'!$EY$5:$IW$40,17,FALSE)</f>
        <v>#N/A</v>
      </c>
      <c r="EZ137" s="5">
        <f>HLOOKUP(EZ$1,'Stress calculations'!$EY$5:$IW$40,17,FALSE)</f>
        <v>0</v>
      </c>
      <c r="FA137" s="5">
        <f>HLOOKUP(FA$1,'Stress calculations'!$EY$5:$IW$40,17,FALSE)</f>
        <v>0.70180116669207027</v>
      </c>
      <c r="FB137" s="5">
        <f>HLOOKUP(FB$1,'Stress calculations'!$EY$5:$IW$40,17,FALSE)</f>
        <v>0.05</v>
      </c>
      <c r="FC137" s="5">
        <f>HLOOKUP(FC$1,'Stress calculations'!$EY$5:$IW$40,17,FALSE)</f>
        <v>0.11499670604800004</v>
      </c>
      <c r="FD137" s="5">
        <f>HLOOKUP(FD$1,'Stress calculations'!$EY$5:$IW$40,17,FALSE)</f>
        <v>2.1961915294117625E-2</v>
      </c>
      <c r="FE137" s="5">
        <f>HLOOKUP(FE$1,'Stress calculations'!$EY$5:$IW$40,17,FALSE)</f>
        <v>9.6521654501216539E-2</v>
      </c>
      <c r="FF137" s="5">
        <f>HLOOKUP(FF$1,'Stress calculations'!$EY$5:$IW$40,17,FALSE)</f>
        <v>4.1079156528791544E-2</v>
      </c>
      <c r="FG137" s="5">
        <f>HLOOKUP(FG$1,'Stress calculations'!$EY$5:$IW$40,17,FALSE)</f>
        <v>1.9821411192214103E-2</v>
      </c>
      <c r="FH137" s="5">
        <f>HLOOKUP(FH$1,'Stress calculations'!$EY$5:$IW$40,17,FALSE)</f>
        <v>6.9000000000000242E-3</v>
      </c>
      <c r="FI137" s="5">
        <f>HLOOKUP(FI$1,'Stress calculations'!$EY$5:$IW$40,17,FALSE)</f>
        <v>6.501923076923031E-3</v>
      </c>
      <c r="FJ137" s="5">
        <f>HLOOKUP(FJ$1,'Stress calculations'!$EY$5:$IW$40,17,FALSE)</f>
        <v>2.4149999999999727E-3</v>
      </c>
      <c r="FK137" s="5">
        <f>HLOOKUP(FK$1,'Stress calculations'!$EY$5:$IW$40,17,FALSE)</f>
        <v>1.1334400000000017E-2</v>
      </c>
      <c r="FL137" s="64" t="e">
        <f t="shared" si="204"/>
        <v>#N/A</v>
      </c>
      <c r="FM137" s="280">
        <f>FM136-((FM$136-0.1)/20)</f>
        <v>0.43249999999999966</v>
      </c>
    </row>
    <row r="138" spans="154:169">
      <c r="EX138" s="89">
        <v>2032</v>
      </c>
      <c r="EY138" s="5" t="e">
        <f>HLOOKUP(EY$1,'Stress calculations'!$EY$5:$IW$40,18,FALSE)</f>
        <v>#N/A</v>
      </c>
      <c r="EZ138" s="5">
        <f>HLOOKUP(EZ$1,'Stress calculations'!$EY$5:$IW$40,18,FALSE)</f>
        <v>0</v>
      </c>
      <c r="FA138" s="5">
        <f>HLOOKUP(FA$1,'Stress calculations'!$EY$5:$IW$40,18,FALSE)</f>
        <v>0.66920943691804946</v>
      </c>
      <c r="FB138" s="5">
        <f>HLOOKUP(FB$1,'Stress calculations'!$EY$5:$IW$40,18,FALSE)</f>
        <v>0.05</v>
      </c>
      <c r="FC138" s="5">
        <f>HLOOKUP(FC$1,'Stress calculations'!$EY$5:$IW$40,18,FALSE)</f>
        <v>0.13160180134956528</v>
      </c>
      <c r="FD138" s="5">
        <f>HLOOKUP(FD$1,'Stress calculations'!$EY$5:$IW$40,18,FALSE)</f>
        <v>2.3355952941176469E-2</v>
      </c>
      <c r="FE138" s="5">
        <f>HLOOKUP(FE$1,'Stress calculations'!$EY$5:$IW$40,18,FALSE)</f>
        <v>0.1059503649635037</v>
      </c>
      <c r="FF138" s="5">
        <f>HLOOKUP(FF$1,'Stress calculations'!$EY$5:$IW$40,18,FALSE)</f>
        <v>4.509197080291974E-2</v>
      </c>
      <c r="FG138" s="5">
        <f>HLOOKUP(FG$1,'Stress calculations'!$EY$5:$IW$40,18,FALSE)</f>
        <v>2.1757664233576637E-2</v>
      </c>
      <c r="FH138" s="5">
        <f>HLOOKUP(FH$1,'Stress calculations'!$EY$5:$IW$40,18,FALSE)</f>
        <v>1.0414285714285753E-2</v>
      </c>
      <c r="FI138" s="5">
        <f>HLOOKUP(FI$1,'Stress calculations'!$EY$5:$IW$40,18,FALSE)</f>
        <v>7.4769230769230763E-3</v>
      </c>
      <c r="FJ138" s="5">
        <f>HLOOKUP(FJ$1,'Stress calculations'!$EY$5:$IW$40,18,FALSE)</f>
        <v>2.6999999999999433E-3</v>
      </c>
      <c r="FK138" s="5">
        <f>HLOOKUP(FK$1,'Stress calculations'!$EY$5:$IW$40,18,FALSE)</f>
        <v>1.2441599999999976E-2</v>
      </c>
      <c r="FL138" s="64" t="e">
        <f t="shared" si="204"/>
        <v>#N/A</v>
      </c>
      <c r="FM138" s="280">
        <f t="shared" ref="FM138:FM156" si="206">FM137-((FM$136-0.1)/20)</f>
        <v>0.4149999999999997</v>
      </c>
    </row>
    <row r="139" spans="154:169">
      <c r="EX139" s="89">
        <v>2033</v>
      </c>
      <c r="EY139" s="5" t="e">
        <f>HLOOKUP(EY$1,'Stress calculations'!$EY$5:$IW$40,19,FALSE)</f>
        <v>#N/A</v>
      </c>
      <c r="EZ139" s="5">
        <f>HLOOKUP(EZ$1,'Stress calculations'!$EY$5:$IW$40,19,FALSE)</f>
        <v>0</v>
      </c>
      <c r="FA139" s="5">
        <f>HLOOKUP(FA$1,'Stress calculations'!$EY$5:$IW$40,19,FALSE)</f>
        <v>0.63554713422806031</v>
      </c>
      <c r="FB139" s="5">
        <f>HLOOKUP(FB$1,'Stress calculations'!$EY$5:$IW$40,19,FALSE)</f>
        <v>0.05</v>
      </c>
      <c r="FC139" s="5">
        <f>HLOOKUP(FC$1,'Stress calculations'!$EY$5:$IW$40,19,FALSE)</f>
        <v>0.14901363657708216</v>
      </c>
      <c r="FD139" s="5">
        <f>HLOOKUP(FD$1,'Stress calculations'!$EY$5:$IW$40,19,FALSE)</f>
        <v>2.4765516862745082E-2</v>
      </c>
      <c r="FE139" s="5">
        <f>HLOOKUP(FE$1,'Stress calculations'!$EY$5:$IW$40,19,FALSE)</f>
        <v>0.11548807785888072</v>
      </c>
      <c r="FF139" s="5">
        <f>HLOOKUP(FF$1,'Stress calculations'!$EY$5:$IW$40,19,FALSE)</f>
        <v>4.9151175993511716E-2</v>
      </c>
      <c r="FG139" s="5">
        <f>HLOOKUP(FG$1,'Stress calculations'!$EY$5:$IW$40,19,FALSE)</f>
        <v>2.3716301703163002E-2</v>
      </c>
      <c r="FH139" s="5">
        <f>HLOOKUP(FH$1,'Stress calculations'!$EY$5:$IW$40,19,FALSE)</f>
        <v>1.3971428571428619E-2</v>
      </c>
      <c r="FI139" s="5">
        <f>HLOOKUP(FI$1,'Stress calculations'!$EY$5:$IW$40,19,FALSE)</f>
        <v>8.4634615384615811E-3</v>
      </c>
      <c r="FJ139" s="5">
        <f>HLOOKUP(FJ$1,'Stress calculations'!$EY$5:$IW$40,19,FALSE)</f>
        <v>2.9883333333333663E-3</v>
      </c>
      <c r="FK139" s="5">
        <f>HLOOKUP(FK$1,'Stress calculations'!$EY$5:$IW$40,19,FALSE)</f>
        <v>1.356160000000005E-2</v>
      </c>
      <c r="FL139" s="64" t="e">
        <f t="shared" si="204"/>
        <v>#N/A</v>
      </c>
      <c r="FM139" s="280">
        <f t="shared" si="206"/>
        <v>0.39749999999999974</v>
      </c>
    </row>
    <row r="140" spans="154:169">
      <c r="EX140" s="89">
        <v>2034</v>
      </c>
      <c r="EY140" s="5" t="e">
        <f>HLOOKUP(EY$1,'Stress calculations'!$EY$5:$IW$40,20,FALSE)</f>
        <v>#N/A</v>
      </c>
      <c r="EZ140" s="5">
        <f>HLOOKUP(EZ$1,'Stress calculations'!$EY$5:$IW$40,20,FALSE)</f>
        <v>0</v>
      </c>
      <c r="FA140" s="5">
        <f>HLOOKUP(FA$1,'Stress calculations'!$EY$5:$IW$40,20,FALSE)</f>
        <v>0.60080302137966834</v>
      </c>
      <c r="FB140" s="5">
        <f>HLOOKUP(FB$1,'Stress calculations'!$EY$5:$IW$40,20,FALSE)</f>
        <v>0.05</v>
      </c>
      <c r="FC140" s="5">
        <f>HLOOKUP(FC$1,'Stress calculations'!$EY$5:$IW$40,20,FALSE)</f>
        <v>0.16724344897298551</v>
      </c>
      <c r="FD140" s="5">
        <f>HLOOKUP(FD$1,'Stress calculations'!$EY$5:$IW$40,20,FALSE)</f>
        <v>2.6190607058823513E-2</v>
      </c>
      <c r="FE140" s="5">
        <f>HLOOKUP(FE$1,'Stress calculations'!$EY$5:$IW$40,20,FALSE)</f>
        <v>0.12513479318734788</v>
      </c>
      <c r="FF140" s="5">
        <f>HLOOKUP(FF$1,'Stress calculations'!$EY$5:$IW$40,20,FALSE)</f>
        <v>5.3256772100567715E-2</v>
      </c>
      <c r="FG140" s="5">
        <f>HLOOKUP(FG$1,'Stress calculations'!$EY$5:$IW$40,20,FALSE)</f>
        <v>2.5697323600973213E-2</v>
      </c>
      <c r="FH140" s="5">
        <f>HLOOKUP(FH$1,'Stress calculations'!$EY$5:$IW$40,20,FALSE)</f>
        <v>1.7571428571428627E-2</v>
      </c>
      <c r="FI140" s="5">
        <f>HLOOKUP(FI$1,'Stress calculations'!$EY$5:$IW$40,20,FALSE)</f>
        <v>9.4615384615384258E-3</v>
      </c>
      <c r="FJ140" s="5">
        <f>HLOOKUP(FJ$1,'Stress calculations'!$EY$5:$IW$40,20,FALSE)</f>
        <v>3.2800000000000021E-3</v>
      </c>
      <c r="FK140" s="5">
        <f>HLOOKUP(FK$1,'Stress calculations'!$EY$5:$IW$40,20,FALSE)</f>
        <v>1.4694400000000005E-2</v>
      </c>
      <c r="FL140" s="64" t="e">
        <f t="shared" si="204"/>
        <v>#N/A</v>
      </c>
      <c r="FM140" s="280">
        <f t="shared" si="206"/>
        <v>0.37999999999999978</v>
      </c>
    </row>
    <row r="141" spans="154:169">
      <c r="EX141" s="89">
        <v>2035</v>
      </c>
      <c r="EY141" s="5" t="e">
        <f>HLOOKUP(EY$1,'Stress calculations'!$EY$5:$IW$40,21,FALSE)</f>
        <v>#N/A</v>
      </c>
      <c r="EZ141" s="5">
        <f>HLOOKUP(EZ$1,'Stress calculations'!$EY$5:$IW$40,21,FALSE)</f>
        <v>0</v>
      </c>
      <c r="FA141" s="5">
        <f>HLOOKUP(FA$1,'Stress calculations'!$EY$5:$IW$40,21,FALSE)</f>
        <v>0.56496586113043867</v>
      </c>
      <c r="FB141" s="5">
        <f>HLOOKUP(FB$1,'Stress calculations'!$EY$5:$IW$40,21,FALSE)</f>
        <v>0.05</v>
      </c>
      <c r="FC141" s="5">
        <f>HLOOKUP(FC$1,'Stress calculations'!$EY$5:$IW$40,21,FALSE)</f>
        <v>0.18630247577971012</v>
      </c>
      <c r="FD141" s="5">
        <f>HLOOKUP(FD$1,'Stress calculations'!$EY$5:$IW$40,21,FALSE)</f>
        <v>2.7631223529411754E-2</v>
      </c>
      <c r="FE141" s="5">
        <f>HLOOKUP(FE$1,'Stress calculations'!$EY$5:$IW$40,21,FALSE)</f>
        <v>0.13489051094890511</v>
      </c>
      <c r="FF141" s="5">
        <f>HLOOKUP(FF$1,'Stress calculations'!$EY$5:$IW$40,21,FALSE)</f>
        <v>5.7408759124087522E-2</v>
      </c>
      <c r="FG141" s="5">
        <f>HLOOKUP(FG$1,'Stress calculations'!$EY$5:$IW$40,21,FALSE)</f>
        <v>2.770072992700728E-2</v>
      </c>
      <c r="FH141" s="5">
        <f>HLOOKUP(FH$1,'Stress calculations'!$EY$5:$IW$40,21,FALSE)</f>
        <v>2.1214285714285661E-2</v>
      </c>
      <c r="FI141" s="5">
        <f>HLOOKUP(FI$1,'Stress calculations'!$EY$5:$IW$40,21,FALSE)</f>
        <v>1.0471153846153856E-2</v>
      </c>
      <c r="FJ141" s="5">
        <f>HLOOKUP(FJ$1,'Stress calculations'!$EY$5:$IW$40,21,FALSE)</f>
        <v>3.5749999999999723E-3</v>
      </c>
      <c r="FK141" s="5">
        <f>HLOOKUP(FK$1,'Stress calculations'!$EY$5:$IW$40,21,FALSE)</f>
        <v>1.5839999999999962E-2</v>
      </c>
      <c r="FL141" s="64" t="e">
        <f t="shared" si="204"/>
        <v>#N/A</v>
      </c>
      <c r="FM141" s="280">
        <f t="shared" si="206"/>
        <v>0.36249999999999982</v>
      </c>
    </row>
    <row r="142" spans="154:169">
      <c r="EX142" s="89">
        <v>2036</v>
      </c>
      <c r="EY142" s="5" t="e">
        <f>HLOOKUP(EY$1,'Stress calculations'!$EY$5:$IW$40,22,FALSE)</f>
        <v>#N/A</v>
      </c>
      <c r="EZ142" s="5">
        <f>HLOOKUP(EZ$1,'Stress calculations'!$EY$5:$IW$40,22,FALSE)</f>
        <v>0</v>
      </c>
      <c r="FA142" s="5">
        <f>HLOOKUP(FA$1,'Stress calculations'!$EY$5:$IW$40,22,FALSE)</f>
        <v>0.52802441623793606</v>
      </c>
      <c r="FB142" s="5">
        <f>HLOOKUP(FB$1,'Stress calculations'!$EY$5:$IW$40,22,FALSE)</f>
        <v>0.05</v>
      </c>
      <c r="FC142" s="5">
        <f>HLOOKUP(FC$1,'Stress calculations'!$EY$5:$IW$40,22,FALSE)</f>
        <v>0.20620195423969084</v>
      </c>
      <c r="FD142" s="5">
        <f>HLOOKUP(FD$1,'Stress calculations'!$EY$5:$IW$40,22,FALSE)</f>
        <v>2.90873662745098E-2</v>
      </c>
      <c r="FE142" s="5">
        <f>HLOOKUP(FE$1,'Stress calculations'!$EY$5:$IW$40,22,FALSE)</f>
        <v>0.14475523114355227</v>
      </c>
      <c r="FF142" s="5">
        <f>HLOOKUP(FF$1,'Stress calculations'!$EY$5:$IW$40,22,FALSE)</f>
        <v>6.1607137064071359E-2</v>
      </c>
      <c r="FG142" s="5">
        <f>HLOOKUP(FG$1,'Stress calculations'!$EY$5:$IW$40,22,FALSE)</f>
        <v>2.9726520681265189E-2</v>
      </c>
      <c r="FH142" s="5">
        <f>HLOOKUP(FH$1,'Stress calculations'!$EY$5:$IW$40,22,FALSE)</f>
        <v>2.489999999999996E-2</v>
      </c>
      <c r="FI142" s="5">
        <f>HLOOKUP(FI$1,'Stress calculations'!$EY$5:$IW$40,22,FALSE)</f>
        <v>1.149230769230775E-2</v>
      </c>
      <c r="FJ142" s="5">
        <f>HLOOKUP(FJ$1,'Stress calculations'!$EY$5:$IW$40,22,FALSE)</f>
        <v>3.8733333333332755E-3</v>
      </c>
      <c r="FK142" s="5">
        <f>HLOOKUP(FK$1,'Stress calculations'!$EY$5:$IW$40,22,FALSE)</f>
        <v>1.6998400000000045E-2</v>
      </c>
      <c r="FL142" s="64" t="e">
        <f t="shared" si="204"/>
        <v>#N/A</v>
      </c>
      <c r="FM142" s="280">
        <f t="shared" si="206"/>
        <v>0.34499999999999986</v>
      </c>
    </row>
    <row r="143" spans="154:169">
      <c r="EX143" s="89">
        <v>2037</v>
      </c>
      <c r="EY143" s="5" t="e">
        <f>HLOOKUP(EY$1,'Stress calculations'!$EY$5:$IW$40,23,FALSE)</f>
        <v>#N/A</v>
      </c>
      <c r="EZ143" s="5">
        <f>HLOOKUP(EZ$1,'Stress calculations'!$EY$5:$IW$40,23,FALSE)</f>
        <v>0</v>
      </c>
      <c r="FA143" s="5">
        <f>HLOOKUP(FA$1,'Stress calculations'!$EY$5:$IW$40,23,FALSE)</f>
        <v>0.48996744945972603</v>
      </c>
      <c r="FB143" s="5">
        <f>HLOOKUP(FB$1,'Stress calculations'!$EY$5:$IW$40,23,FALSE)</f>
        <v>0.05</v>
      </c>
      <c r="FC143" s="5">
        <f>HLOOKUP(FC$1,'Stress calculations'!$EY$5:$IW$40,23,FALSE)</f>
        <v>0.22695312159536238</v>
      </c>
      <c r="FD143" s="5">
        <f>HLOOKUP(FD$1,'Stress calculations'!$EY$5:$IW$40,23,FALSE)</f>
        <v>3.0559035294117663E-2</v>
      </c>
      <c r="FE143" s="5">
        <f>HLOOKUP(FE$1,'Stress calculations'!$EY$5:$IW$40,23,FALSE)</f>
        <v>0.15472895377128956</v>
      </c>
      <c r="FF143" s="5">
        <f>HLOOKUP(FF$1,'Stress calculations'!$EY$5:$IW$40,23,FALSE)</f>
        <v>6.5851905920519108E-2</v>
      </c>
      <c r="FG143" s="5">
        <f>HLOOKUP(FG$1,'Stress calculations'!$EY$5:$IW$40,23,FALSE)</f>
        <v>3.1774695863746948E-2</v>
      </c>
      <c r="FH143" s="5">
        <f>HLOOKUP(FH$1,'Stress calculations'!$EY$5:$IW$40,23,FALSE)</f>
        <v>2.8628571428571406E-2</v>
      </c>
      <c r="FI143" s="5">
        <f>HLOOKUP(FI$1,'Stress calculations'!$EY$5:$IW$40,23,FALSE)</f>
        <v>1.2524999999999982E-2</v>
      </c>
      <c r="FJ143" s="5">
        <f>HLOOKUP(FJ$1,'Stress calculations'!$EY$5:$IW$40,23,FALSE)</f>
        <v>4.1750000000000355E-3</v>
      </c>
      <c r="FK143" s="5">
        <f>HLOOKUP(FK$1,'Stress calculations'!$EY$5:$IW$40,23,FALSE)</f>
        <v>1.8169600000000004E-2</v>
      </c>
      <c r="FL143" s="64" t="e">
        <f t="shared" si="204"/>
        <v>#N/A</v>
      </c>
      <c r="FM143" s="280">
        <f t="shared" si="206"/>
        <v>0.3274999999999999</v>
      </c>
    </row>
    <row r="144" spans="154:169">
      <c r="EX144" s="89">
        <v>2038</v>
      </c>
      <c r="EY144" s="5" t="e">
        <f>HLOOKUP(EY$1,'Stress calculations'!$EY$5:$IW$40,24,FALSE)</f>
        <v>#N/A</v>
      </c>
      <c r="EZ144" s="5">
        <f>HLOOKUP(EZ$1,'Stress calculations'!$EY$5:$IW$40,24,FALSE)</f>
        <v>0</v>
      </c>
      <c r="FA144" s="5">
        <f>HLOOKUP(FA$1,'Stress calculations'!$EY$5:$IW$40,24,FALSE)</f>
        <v>0.45637318237690383</v>
      </c>
      <c r="FB144" s="5">
        <f>HLOOKUP(FB$1,'Stress calculations'!$EY$5:$IW$40,24,FALSE)</f>
        <v>0.05</v>
      </c>
      <c r="FC144" s="5">
        <f>HLOOKUP(FC$1,'Stress calculations'!$EY$5:$IW$40,24,FALSE)</f>
        <v>0.24856721508915952</v>
      </c>
      <c r="FD144" s="5">
        <f>HLOOKUP(FD$1,'Stress calculations'!$EY$5:$IW$40,24,FALSE)</f>
        <v>2.6456771764705886E-2</v>
      </c>
      <c r="FE144" s="5">
        <f>HLOOKUP(FE$1,'Stress calculations'!$EY$5:$IW$40,24,FALSE)</f>
        <v>0.16481167883211686</v>
      </c>
      <c r="FF144" s="5">
        <f>HLOOKUP(FF$1,'Stress calculations'!$EY$5:$IW$40,24,FALSE)</f>
        <v>7.0143065693430651E-2</v>
      </c>
      <c r="FG144" s="5">
        <f>HLOOKUP(FG$1,'Stress calculations'!$EY$5:$IW$40,24,FALSE)</f>
        <v>3.3845255474452544E-2</v>
      </c>
      <c r="FH144" s="5">
        <f>HLOOKUP(FH$1,'Stress calculations'!$EY$5:$IW$40,24,FALSE)</f>
        <v>3.2399999999999991E-2</v>
      </c>
      <c r="FI144" s="5">
        <f>HLOOKUP(FI$1,'Stress calculations'!$EY$5:$IW$40,24,FALSE)</f>
        <v>1.35692307692308E-2</v>
      </c>
      <c r="FJ144" s="5">
        <f>HLOOKUP(FJ$1,'Stress calculations'!$EY$5:$IW$40,24,FALSE)</f>
        <v>4.4800000000000057E-3</v>
      </c>
      <c r="FK144" s="5">
        <f>HLOOKUP(FK$1,'Stress calculations'!$EY$5:$IW$40,24,FALSE)</f>
        <v>1.9353599999999964E-2</v>
      </c>
      <c r="FL144" s="64" t="e">
        <f t="shared" si="204"/>
        <v>#N/A</v>
      </c>
      <c r="FM144" s="280">
        <f t="shared" si="206"/>
        <v>0.30999999999999994</v>
      </c>
    </row>
    <row r="145" spans="154:169">
      <c r="EX145" s="89">
        <v>2039</v>
      </c>
      <c r="EY145" s="5" t="e">
        <f>HLOOKUP(EY$1,'Stress calculations'!$EY$5:$IW$40,25,FALSE)</f>
        <v>#N/A</v>
      </c>
      <c r="EZ145" s="5">
        <f>HLOOKUP(EZ$1,'Stress calculations'!$EY$5:$IW$40,25,FALSE)</f>
        <v>0</v>
      </c>
      <c r="FA145" s="5">
        <f>HLOOKUP(FA$1,'Stress calculations'!$EY$5:$IW$40,25,FALSE)</f>
        <v>0.42170746009997506</v>
      </c>
      <c r="FB145" s="5">
        <f>HLOOKUP(FB$1,'Stress calculations'!$EY$5:$IW$40,25,FALSE)</f>
        <v>0.05</v>
      </c>
      <c r="FC145" s="5">
        <f>HLOOKUP(FC$1,'Stress calculations'!$EY$5:$IW$40,25,FALSE)</f>
        <v>0.27105547196351698</v>
      </c>
      <c r="FD145" s="5">
        <f>HLOOKUP(FD$1,'Stress calculations'!$EY$5:$IW$40,25,FALSE)</f>
        <v>2.2303493333333334E-2</v>
      </c>
      <c r="FE145" s="5">
        <f>HLOOKUP(FE$1,'Stress calculations'!$EY$5:$IW$40,25,FALSE)</f>
        <v>0.17500340632603403</v>
      </c>
      <c r="FF145" s="5">
        <f>HLOOKUP(FF$1,'Stress calculations'!$EY$5:$IW$40,25,FALSE)</f>
        <v>7.4480616382806189E-2</v>
      </c>
      <c r="FG145" s="5">
        <f>HLOOKUP(FG$1,'Stress calculations'!$EY$5:$IW$40,25,FALSE)</f>
        <v>3.5938199513381973E-2</v>
      </c>
      <c r="FH145" s="5">
        <f>HLOOKUP(FH$1,'Stress calculations'!$EY$5:$IW$40,25,FALSE)</f>
        <v>3.6214285714285713E-2</v>
      </c>
      <c r="FI145" s="5">
        <f>HLOOKUP(FI$1,'Stress calculations'!$EY$5:$IW$40,25,FALSE)</f>
        <v>1.4624999999999949E-2</v>
      </c>
      <c r="FJ145" s="5">
        <f>HLOOKUP(FJ$1,'Stress calculations'!$EY$5:$IW$40,25,FALSE)</f>
        <v>4.7883333333333068E-3</v>
      </c>
      <c r="FK145" s="5">
        <f>HLOOKUP(FK$1,'Stress calculations'!$EY$5:$IW$40,25,FALSE)</f>
        <v>2.0550400000000038E-2</v>
      </c>
      <c r="FL145" s="64" t="e">
        <f t="shared" si="204"/>
        <v>#N/A</v>
      </c>
      <c r="FM145" s="280">
        <f t="shared" si="206"/>
        <v>0.29249999999999998</v>
      </c>
    </row>
    <row r="146" spans="154:169">
      <c r="EX146" s="89">
        <v>2040</v>
      </c>
      <c r="EY146" s="5" t="e">
        <f>HLOOKUP(EY$1,'Stress calculations'!$EY$5:$IW$40,26,FALSE)</f>
        <v>#N/A</v>
      </c>
      <c r="EZ146" s="5">
        <f>HLOOKUP(EZ$1,'Stress calculations'!$EY$5:$IW$40,26,FALSE)</f>
        <v>0</v>
      </c>
      <c r="FA146" s="5">
        <f>HLOOKUP(FA$1,'Stress calculations'!$EY$5:$IW$40,26,FALSE)</f>
        <v>0.38595904538650538</v>
      </c>
      <c r="FB146" s="5">
        <f>HLOOKUP(FB$1,'Stress calculations'!$EY$5:$IW$40,26,FALSE)</f>
        <v>0.05</v>
      </c>
      <c r="FC146" s="5">
        <f>HLOOKUP(FC$1,'Stress calculations'!$EY$5:$IW$40,26,FALSE)</f>
        <v>0.29442912946086952</v>
      </c>
      <c r="FD146" s="5">
        <f>HLOOKUP(FD$1,'Stress calculations'!$EY$5:$IW$40,26,FALSE)</f>
        <v>1.8099199999999968E-2</v>
      </c>
      <c r="FE146" s="5">
        <f>HLOOKUP(FE$1,'Stress calculations'!$EY$5:$IW$40,26,FALSE)</f>
        <v>0.18530413625304132</v>
      </c>
      <c r="FF146" s="5">
        <f>HLOOKUP(FF$1,'Stress calculations'!$EY$5:$IW$40,26,FALSE)</f>
        <v>7.8864557988645514E-2</v>
      </c>
      <c r="FG146" s="5">
        <f>HLOOKUP(FG$1,'Stress calculations'!$EY$5:$IW$40,26,FALSE)</f>
        <v>3.8053527980535247E-2</v>
      </c>
      <c r="FH146" s="5">
        <f>HLOOKUP(FH$1,'Stress calculations'!$EY$5:$IW$40,26,FALSE)</f>
        <v>4.007142857142857E-2</v>
      </c>
      <c r="FI146" s="5">
        <f>HLOOKUP(FI$1,'Stress calculations'!$EY$5:$IW$40,26,FALSE)</f>
        <v>1.5692307692307682E-2</v>
      </c>
      <c r="FJ146" s="5">
        <f>HLOOKUP(FJ$1,'Stress calculations'!$EY$5:$IW$40,26,FALSE)</f>
        <v>5.0999999999999405E-3</v>
      </c>
      <c r="FK146" s="5">
        <f>HLOOKUP(FK$1,'Stress calculations'!$EY$5:$IW$40,26,FALSE)</f>
        <v>2.1759999999999988E-2</v>
      </c>
      <c r="FL146" s="64" t="e">
        <f t="shared" si="204"/>
        <v>#N/A</v>
      </c>
      <c r="FM146" s="280">
        <f t="shared" si="206"/>
        <v>0.27500000000000002</v>
      </c>
    </row>
    <row r="147" spans="154:169">
      <c r="EX147" s="89">
        <v>2041</v>
      </c>
      <c r="EY147" s="5" t="e">
        <f>HLOOKUP(EY$1,'Stress calculations'!$EY$5:$IW$40,27,FALSE)</f>
        <v>#N/A</v>
      </c>
      <c r="EZ147" s="5">
        <f>HLOOKUP(EZ$1,'Stress calculations'!$EY$5:$IW$40,27,FALSE)</f>
        <v>0</v>
      </c>
      <c r="FA147" s="5">
        <f>HLOOKUP(FA$1,'Stress calculations'!$EY$5:$IW$40,27,FALSE)</f>
        <v>0.36039072669685202</v>
      </c>
      <c r="FB147" s="5">
        <f>HLOOKUP(FB$1,'Stress calculations'!$EY$5:$IW$40,27,FALSE)</f>
        <v>0.05</v>
      </c>
      <c r="FC147" s="5">
        <f>HLOOKUP(FC$1,'Stress calculations'!$EY$5:$IW$40,27,FALSE)</f>
        <v>0.30192577088556521</v>
      </c>
      <c r="FD147" s="5">
        <f>HLOOKUP(FD$1,'Stress calculations'!$EY$5:$IW$40,27,FALSE)</f>
        <v>1.9343519999999999E-2</v>
      </c>
      <c r="FE147" s="5">
        <f>HLOOKUP(FE$1,'Stress calculations'!$EY$5:$IW$40,27,FALSE)</f>
        <v>0.19571386861313872</v>
      </c>
      <c r="FF147" s="5">
        <f>HLOOKUP(FF$1,'Stress calculations'!$EY$5:$IW$40,27,FALSE)</f>
        <v>8.3294890510948905E-2</v>
      </c>
      <c r="FG147" s="5">
        <f>HLOOKUP(FG$1,'Stress calculations'!$EY$5:$IW$40,27,FALSE)</f>
        <v>4.019124087591238E-2</v>
      </c>
      <c r="FH147" s="5">
        <f>HLOOKUP(FH$1,'Stress calculations'!$EY$5:$IW$40,27,FALSE)</f>
        <v>4.3971428571428592E-2</v>
      </c>
      <c r="FI147" s="5">
        <f>HLOOKUP(FI$1,'Stress calculations'!$EY$5:$IW$40,27,FALSE)</f>
        <v>1.6771153846153887E-2</v>
      </c>
      <c r="FJ147" s="5">
        <f>HLOOKUP(FJ$1,'Stress calculations'!$EY$5:$IW$40,27,FALSE)</f>
        <v>5.4150000000000361E-3</v>
      </c>
      <c r="FK147" s="5">
        <f>HLOOKUP(FK$1,'Stress calculations'!$EY$5:$IW$40,27,FALSE)</f>
        <v>2.2982399999999948E-2</v>
      </c>
      <c r="FL147" s="64" t="e">
        <f t="shared" si="204"/>
        <v>#N/A</v>
      </c>
      <c r="FM147" s="280">
        <f t="shared" si="206"/>
        <v>0.25750000000000006</v>
      </c>
    </row>
    <row r="148" spans="154:169">
      <c r="EX148" s="89">
        <v>2042</v>
      </c>
      <c r="EY148" s="5" t="e">
        <f>HLOOKUP(EY$1,'Stress calculations'!$EY$5:$IW$40,28,FALSE)</f>
        <v>#N/A</v>
      </c>
      <c r="EZ148" s="5">
        <f>HLOOKUP(EZ$1,'Stress calculations'!$EY$5:$IW$40,28,FALSE)</f>
        <v>0</v>
      </c>
      <c r="FA148" s="5">
        <f>HLOOKUP(FA$1,'Stress calculations'!$EY$5:$IW$40,28,FALSE)</f>
        <v>0.33563787783708376</v>
      </c>
      <c r="FB148" s="5">
        <f>HLOOKUP(FB$1,'Stress calculations'!$EY$5:$IW$40,28,FALSE)</f>
        <v>0.05</v>
      </c>
      <c r="FC148" s="5">
        <f>HLOOKUP(FC$1,'Stress calculations'!$EY$5:$IW$40,28,FALSE)</f>
        <v>0.30948983576486966</v>
      </c>
      <c r="FD148" s="5">
        <f>HLOOKUP(FD$1,'Stress calculations'!$EY$5:$IW$40,28,FALSE)</f>
        <v>1.9456640000000001E-2</v>
      </c>
      <c r="FE148" s="5">
        <f>HLOOKUP(FE$1,'Stress calculations'!$EY$5:$IW$40,28,FALSE)</f>
        <v>0.20623260340632613</v>
      </c>
      <c r="FF148" s="5">
        <f>HLOOKUP(FF$1,'Stress calculations'!$EY$5:$IW$40,28,FALSE)</f>
        <v>8.7771613949716207E-2</v>
      </c>
      <c r="FG148" s="5">
        <f>HLOOKUP(FG$1,'Stress calculations'!$EY$5:$IW$40,28,FALSE)</f>
        <v>4.2351338199513359E-2</v>
      </c>
      <c r="FH148" s="5">
        <f>HLOOKUP(FH$1,'Stress calculations'!$EY$5:$IW$40,28,FALSE)</f>
        <v>4.791428571428575E-2</v>
      </c>
      <c r="FI148" s="5">
        <f>HLOOKUP(FI$1,'Stress calculations'!$EY$5:$IW$40,28,FALSE)</f>
        <v>1.7861538461538425E-2</v>
      </c>
      <c r="FJ148" s="5">
        <f>HLOOKUP(FJ$1,'Stress calculations'!$EY$5:$IW$40,28,FALSE)</f>
        <v>5.7333333333333385E-3</v>
      </c>
      <c r="FK148" s="5">
        <f>HLOOKUP(FK$1,'Stress calculations'!$EY$5:$IW$40,28,FALSE)</f>
        <v>2.4217600000000034E-2</v>
      </c>
      <c r="FL148" s="64" t="e">
        <f t="shared" si="204"/>
        <v>#N/A</v>
      </c>
      <c r="FM148" s="280">
        <f t="shared" si="206"/>
        <v>0.24000000000000007</v>
      </c>
    </row>
    <row r="149" spans="154:169">
      <c r="EX149" s="89">
        <v>2043</v>
      </c>
      <c r="EY149" s="5" t="e">
        <f>HLOOKUP(EY$1,'Stress calculations'!$EY$5:$IW$40,29,FALSE)</f>
        <v>#N/A</v>
      </c>
      <c r="EZ149" s="5">
        <f>HLOOKUP(EZ$1,'Stress calculations'!$EY$5:$IW$40,29,FALSE)</f>
        <v>0</v>
      </c>
      <c r="FA149" s="5">
        <f>HLOOKUP(FA$1,'Stress calculations'!$EY$5:$IW$40,29,FALSE)</f>
        <v>0.31056929880720008</v>
      </c>
      <c r="FB149" s="5">
        <f>HLOOKUP(FB$1,'Stress calculations'!$EY$5:$IW$40,29,FALSE)</f>
        <v>0.05</v>
      </c>
      <c r="FC149" s="5">
        <f>HLOOKUP(FC$1,'Stress calculations'!$EY$5:$IW$40,29,FALSE)</f>
        <v>0.31712132409878274</v>
      </c>
      <c r="FD149" s="5">
        <f>HLOOKUP(FD$1,'Stress calculations'!$EY$5:$IW$40,29,FALSE)</f>
        <v>1.9569760000000005E-2</v>
      </c>
      <c r="FE149" s="5">
        <f>HLOOKUP(FE$1,'Stress calculations'!$EY$5:$IW$40,29,FALSE)</f>
        <v>0.21686034063260345</v>
      </c>
      <c r="FF149" s="5">
        <f>HLOOKUP(FF$1,'Stress calculations'!$EY$5:$IW$40,29,FALSE)</f>
        <v>9.2294728304947296E-2</v>
      </c>
      <c r="FG149" s="5">
        <f>HLOOKUP(FG$1,'Stress calculations'!$EY$5:$IW$40,29,FALSE)</f>
        <v>4.4533819951338184E-2</v>
      </c>
      <c r="FH149" s="5">
        <f>HLOOKUP(FH$1,'Stress calculations'!$EY$5:$IW$40,29,FALSE)</f>
        <v>5.1900000000000057E-2</v>
      </c>
      <c r="FI149" s="5">
        <f>HLOOKUP(FI$1,'Stress calculations'!$EY$5:$IW$40,29,FALSE)</f>
        <v>1.8963461538461551E-2</v>
      </c>
      <c r="FJ149" s="5">
        <f>HLOOKUP(FJ$1,'Stress calculations'!$EY$5:$IW$40,29,FALSE)</f>
        <v>6.0549999999999745E-3</v>
      </c>
      <c r="FK149" s="5">
        <f>HLOOKUP(FK$1,'Stress calculations'!$EY$5:$IW$40,29,FALSE)</f>
        <v>2.5465599999999991E-2</v>
      </c>
      <c r="FL149" s="64" t="e">
        <f t="shared" si="204"/>
        <v>#N/A</v>
      </c>
      <c r="FM149" s="280">
        <f t="shared" si="206"/>
        <v>0.22250000000000009</v>
      </c>
    </row>
    <row r="150" spans="154:169">
      <c r="EX150" s="89">
        <v>2044</v>
      </c>
      <c r="EY150" s="5" t="e">
        <f>HLOOKUP(EY$1,'Stress calculations'!$EY$5:$IW$40,30,FALSE)</f>
        <v>#N/A</v>
      </c>
      <c r="EZ150" s="5">
        <f>HLOOKUP(EZ$1,'Stress calculations'!$EY$5:$IW$40,30,FALSE)</f>
        <v>0</v>
      </c>
      <c r="FA150" s="5">
        <f>HLOOKUP(FA$1,'Stress calculations'!$EY$5:$IW$40,30,FALSE)</f>
        <v>0.28518498960720096</v>
      </c>
      <c r="FB150" s="5">
        <f>HLOOKUP(FB$1,'Stress calculations'!$EY$5:$IW$40,30,FALSE)</f>
        <v>0.05</v>
      </c>
      <c r="FC150" s="5">
        <f>HLOOKUP(FC$1,'Stress calculations'!$EY$5:$IW$40,30,FALSE)</f>
        <v>0.32482023588730435</v>
      </c>
      <c r="FD150" s="5">
        <f>HLOOKUP(FD$1,'Stress calculations'!$EY$5:$IW$40,30,FALSE)</f>
        <v>1.968288E-2</v>
      </c>
      <c r="FE150" s="5">
        <f>HLOOKUP(FE$1,'Stress calculations'!$EY$5:$IW$40,30,FALSE)</f>
        <v>0.22759708029197084</v>
      </c>
      <c r="FF150" s="5">
        <f>HLOOKUP(FF$1,'Stress calculations'!$EY$5:$IW$40,30,FALSE)</f>
        <v>9.6864233576642381E-2</v>
      </c>
      <c r="FG150" s="5">
        <f>HLOOKUP(FG$1,'Stress calculations'!$EY$5:$IW$40,30,FALSE)</f>
        <v>4.6738686131386833E-2</v>
      </c>
      <c r="FH150" s="5">
        <f>HLOOKUP(FH$1,'Stress calculations'!$EY$5:$IW$40,30,FALSE)</f>
        <v>5.592857142857148E-2</v>
      </c>
      <c r="FI150" s="5">
        <f>HLOOKUP(FI$1,'Stress calculations'!$EY$5:$IW$40,30,FALSE)</f>
        <v>2.0076923076923135E-2</v>
      </c>
      <c r="FJ150" s="5">
        <f>HLOOKUP(FJ$1,'Stress calculations'!$EY$5:$IW$40,30,FALSE)</f>
        <v>6.3799999999999404E-3</v>
      </c>
      <c r="FK150" s="5">
        <f>HLOOKUP(FK$1,'Stress calculations'!$EY$5:$IW$40,30,FALSE)</f>
        <v>2.6726399999999938E-2</v>
      </c>
      <c r="FL150" s="64" t="e">
        <f t="shared" si="204"/>
        <v>#N/A</v>
      </c>
      <c r="FM150" s="280">
        <f t="shared" si="206"/>
        <v>0.2050000000000001</v>
      </c>
    </row>
    <row r="151" spans="154:169">
      <c r="EX151" s="89">
        <v>2045</v>
      </c>
      <c r="EY151" s="5" t="e">
        <f>HLOOKUP(EY$1,'Stress calculations'!$EY$5:$IW$40,31,FALSE)</f>
        <v>#N/A</v>
      </c>
      <c r="EZ151" s="5">
        <f>HLOOKUP(EZ$1,'Stress calculations'!$EY$5:$IW$40,31,FALSE)</f>
        <v>0</v>
      </c>
      <c r="FA151" s="5">
        <f>HLOOKUP(FA$1,'Stress calculations'!$EY$5:$IW$40,31,FALSE)</f>
        <v>0.2594849502370864</v>
      </c>
      <c r="FB151" s="5">
        <f>HLOOKUP(FB$1,'Stress calculations'!$EY$5:$IW$40,31,FALSE)</f>
        <v>0.05</v>
      </c>
      <c r="FC151" s="5">
        <f>HLOOKUP(FC$1,'Stress calculations'!$EY$5:$IW$40,31,FALSE)</f>
        <v>0.33258657113043488</v>
      </c>
      <c r="FD151" s="5">
        <f>HLOOKUP(FD$1,'Stress calculations'!$EY$5:$IW$40,31,FALSE)</f>
        <v>1.9796000000000001E-2</v>
      </c>
      <c r="FE151" s="5">
        <f>HLOOKUP(FE$1,'Stress calculations'!$EY$5:$IW$40,31,FALSE)</f>
        <v>0.23844282238442835</v>
      </c>
      <c r="FF151" s="5">
        <f>HLOOKUP(FF$1,'Stress calculations'!$EY$5:$IW$40,31,FALSE)</f>
        <v>0.10148012976480141</v>
      </c>
      <c r="FG151" s="5">
        <f>HLOOKUP(FG$1,'Stress calculations'!$EY$5:$IW$40,31,FALSE)</f>
        <v>4.8965936739659342E-2</v>
      </c>
      <c r="FH151" s="5">
        <f>HLOOKUP(FH$1,'Stress calculations'!$EY$5:$IW$40,31,FALSE)</f>
        <v>5.9999999999999949E-2</v>
      </c>
      <c r="FI151" s="5">
        <f>HLOOKUP(FI$1,'Stress calculations'!$EY$5:$IW$40,31,FALSE)</f>
        <v>2.1201923076923056E-2</v>
      </c>
      <c r="FJ151" s="5">
        <f>HLOOKUP(FJ$1,'Stress calculations'!$EY$5:$IW$40,31,FALSE)</f>
        <v>6.7083333333333717E-3</v>
      </c>
      <c r="FK151" s="5">
        <f>HLOOKUP(FK$1,'Stress calculations'!$EY$5:$IW$40,31,FALSE)</f>
        <v>2.8000000000000028E-2</v>
      </c>
      <c r="FL151" s="64" t="e">
        <f t="shared" si="204"/>
        <v>#N/A</v>
      </c>
      <c r="FM151" s="280">
        <f t="shared" si="206"/>
        <v>0.18750000000000011</v>
      </c>
    </row>
    <row r="152" spans="154:169">
      <c r="EX152" s="89">
        <v>2046</v>
      </c>
      <c r="EY152" s="5" t="e">
        <f>HLOOKUP(EY$1,'Stress calculations'!$EY$5:$IW$40,32,FALSE)</f>
        <v>#N/A</v>
      </c>
      <c r="EZ152" s="5">
        <f>HLOOKUP(EZ$1,'Stress calculations'!$EY$5:$IW$40,32,FALSE)</f>
        <v>0</v>
      </c>
      <c r="FA152" s="5">
        <f>HLOOKUP(FA$1,'Stress calculations'!$EY$5:$IW$40,32,FALSE)</f>
        <v>0.23346918069685663</v>
      </c>
      <c r="FB152" s="5">
        <f>HLOOKUP(FB$1,'Stress calculations'!$EY$5:$IW$40,32,FALSE)</f>
        <v>0.05</v>
      </c>
      <c r="FC152" s="5">
        <f>HLOOKUP(FC$1,'Stress calculations'!$EY$5:$IW$40,32,FALSE)</f>
        <v>0.34042032982817388</v>
      </c>
      <c r="FD152" s="5">
        <f>HLOOKUP(FD$1,'Stress calculations'!$EY$5:$IW$40,32,FALSE)</f>
        <v>1.9909119999999995E-2</v>
      </c>
      <c r="FE152" s="5">
        <f>HLOOKUP(FE$1,'Stress calculations'!$EY$5:$IW$40,32,FALSE)</f>
        <v>0.24939756690997578</v>
      </c>
      <c r="FF152" s="5">
        <f>HLOOKUP(FF$1,'Stress calculations'!$EY$5:$IW$40,32,FALSE)</f>
        <v>0.10614241686942417</v>
      </c>
      <c r="FG152" s="5">
        <f>HLOOKUP(FG$1,'Stress calculations'!$EY$5:$IW$40,32,FALSE)</f>
        <v>5.1215571776155683E-2</v>
      </c>
      <c r="FH152" s="5">
        <f>HLOOKUP(FH$1,'Stress calculations'!$EY$5:$IW$40,32,FALSE)</f>
        <v>6.4114285714285651E-2</v>
      </c>
      <c r="FI152" s="5">
        <f>HLOOKUP(FI$1,'Stress calculations'!$EY$5:$IW$40,32,FALSE)</f>
        <v>2.233846153846156E-2</v>
      </c>
      <c r="FJ152" s="5">
        <f>HLOOKUP(FJ$1,'Stress calculations'!$EY$5:$IW$40,32,FALSE)</f>
        <v>7.0400000000000046E-3</v>
      </c>
      <c r="FK152" s="5">
        <f>HLOOKUP(FK$1,'Stress calculations'!$EY$5:$IW$40,32,FALSE)</f>
        <v>2.9286399999999973E-2</v>
      </c>
      <c r="FL152" s="64" t="e">
        <f t="shared" si="204"/>
        <v>#N/A</v>
      </c>
      <c r="FM152" s="280">
        <f t="shared" si="206"/>
        <v>0.17000000000000012</v>
      </c>
    </row>
    <row r="153" spans="154:169">
      <c r="EX153" s="89">
        <v>2047</v>
      </c>
      <c r="EY153" s="5" t="e">
        <f>HLOOKUP(EY$1,'Stress calculations'!$EY$5:$IW$40,33,FALSE)</f>
        <v>#N/A</v>
      </c>
      <c r="EZ153" s="5">
        <f>HLOOKUP(EZ$1,'Stress calculations'!$EY$5:$IW$40,33,FALSE)</f>
        <v>0</v>
      </c>
      <c r="FA153" s="5">
        <f>HLOOKUP(FA$1,'Stress calculations'!$EY$5:$IW$40,33,FALSE)</f>
        <v>0.20713768098651109</v>
      </c>
      <c r="FB153" s="5">
        <f>HLOOKUP(FB$1,'Stress calculations'!$EY$5:$IW$40,33,FALSE)</f>
        <v>0.05</v>
      </c>
      <c r="FC153" s="5">
        <f>HLOOKUP(FC$1,'Stress calculations'!$EY$5:$IW$40,33,FALSE)</f>
        <v>0.3483215119805218</v>
      </c>
      <c r="FD153" s="5">
        <f>HLOOKUP(FD$1,'Stress calculations'!$EY$5:$IW$40,33,FALSE)</f>
        <v>2.002224E-2</v>
      </c>
      <c r="FE153" s="5">
        <f>HLOOKUP(FE$1,'Stress calculations'!$EY$5:$IW$40,33,FALSE)</f>
        <v>0.26046131386861326</v>
      </c>
      <c r="FF153" s="5">
        <f>HLOOKUP(FF$1,'Stress calculations'!$EY$5:$IW$40,33,FALSE)</f>
        <v>0.11085109489051102</v>
      </c>
      <c r="FG153" s="5">
        <f>HLOOKUP(FG$1,'Stress calculations'!$EY$5:$IW$40,33,FALSE)</f>
        <v>5.3487591240875883E-2</v>
      </c>
      <c r="FH153" s="5">
        <f>HLOOKUP(FH$1,'Stress calculations'!$EY$5:$IW$40,33,FALSE)</f>
        <v>6.8271428571428538E-2</v>
      </c>
      <c r="FI153" s="5">
        <f>HLOOKUP(FI$1,'Stress calculations'!$EY$5:$IW$40,33,FALSE)</f>
        <v>2.3486538461538402E-2</v>
      </c>
      <c r="FJ153" s="5">
        <f>HLOOKUP(FJ$1,'Stress calculations'!$EY$5:$IW$40,33,FALSE)</f>
        <v>7.3749999999999736E-3</v>
      </c>
      <c r="FK153" s="5">
        <f>HLOOKUP(FK$1,'Stress calculations'!$EY$5:$IW$40,33,FALSE)</f>
        <v>3.0585599999999932E-2</v>
      </c>
      <c r="FL153" s="64" t="e">
        <f t="shared" si="204"/>
        <v>#N/A</v>
      </c>
      <c r="FM153" s="280">
        <f t="shared" si="206"/>
        <v>0.15250000000000014</v>
      </c>
    </row>
    <row r="154" spans="154:169">
      <c r="EX154" s="89">
        <v>2048</v>
      </c>
      <c r="EY154" s="5" t="e">
        <f>HLOOKUP(EY$1,'Stress calculations'!$EY$5:$IW$40,34,FALSE)</f>
        <v>#N/A</v>
      </c>
      <c r="EZ154" s="5">
        <f>HLOOKUP(EZ$1,'Stress calculations'!$EY$5:$IW$40,34,FALSE)</f>
        <v>0</v>
      </c>
      <c r="FA154" s="5">
        <f>HLOOKUP(FA$1,'Stress calculations'!$EY$5:$IW$40,34,FALSE)</f>
        <v>0.18049045110605044</v>
      </c>
      <c r="FB154" s="5">
        <f>HLOOKUP(FB$1,'Stress calculations'!$EY$5:$IW$40,34,FALSE)</f>
        <v>0.05</v>
      </c>
      <c r="FC154" s="5">
        <f>HLOOKUP(FC$1,'Stress calculations'!$EY$5:$IW$40,34,FALSE)</f>
        <v>0.35629011758747836</v>
      </c>
      <c r="FD154" s="5">
        <f>HLOOKUP(FD$1,'Stress calculations'!$EY$5:$IW$40,34,FALSE)</f>
        <v>2.0135360000000001E-2</v>
      </c>
      <c r="FE154" s="5">
        <f>HLOOKUP(FE$1,'Stress calculations'!$EY$5:$IW$40,34,FALSE)</f>
        <v>0.27163406326034079</v>
      </c>
      <c r="FF154" s="5">
        <f>HLOOKUP(FF$1,'Stress calculations'!$EY$5:$IW$40,34,FALSE)</f>
        <v>0.11560616382806166</v>
      </c>
      <c r="FG154" s="5">
        <f>HLOOKUP(FG$1,'Stress calculations'!$EY$5:$IW$40,34,FALSE)</f>
        <v>5.5781995133819921E-2</v>
      </c>
      <c r="FH154" s="5">
        <f>HLOOKUP(FH$1,'Stress calculations'!$EY$5:$IW$40,34,FALSE)</f>
        <v>7.2471428571428562E-2</v>
      </c>
      <c r="FI154" s="5">
        <f>HLOOKUP(FI$1,'Stress calculations'!$EY$5:$IW$40,34,FALSE)</f>
        <v>2.4646153846153838E-2</v>
      </c>
      <c r="FJ154" s="5">
        <f>HLOOKUP(FJ$1,'Stress calculations'!$EY$5:$IW$40,34,FALSE)</f>
        <v>7.7133333333332752E-3</v>
      </c>
      <c r="FK154" s="5">
        <f>HLOOKUP(FK$1,'Stress calculations'!$EY$5:$IW$40,34,FALSE)</f>
        <v>3.1897600000000019E-2</v>
      </c>
      <c r="FL154" s="64" t="e">
        <f t="shared" si="204"/>
        <v>#N/A</v>
      </c>
      <c r="FM154" s="280">
        <f t="shared" si="206"/>
        <v>0.13500000000000015</v>
      </c>
    </row>
    <row r="155" spans="154:169">
      <c r="EX155" s="89">
        <v>2049</v>
      </c>
      <c r="EY155" s="5" t="e">
        <f>HLOOKUP(EY$1,'Stress calculations'!$EY$5:$IW$40,35,FALSE)</f>
        <v>#N/A</v>
      </c>
      <c r="EZ155" s="5">
        <f>HLOOKUP(EZ$1,'Stress calculations'!$EY$5:$IW$40,35,FALSE)</f>
        <v>0</v>
      </c>
      <c r="FA155" s="5">
        <f>HLOOKUP(FA$1,'Stress calculations'!$EY$5:$IW$40,35,FALSE)</f>
        <v>0.1535274910554737</v>
      </c>
      <c r="FB155" s="5">
        <f>HLOOKUP(FB$1,'Stress calculations'!$EY$5:$IW$40,35,FALSE)</f>
        <v>0.05</v>
      </c>
      <c r="FC155" s="5">
        <f>HLOOKUP(FC$1,'Stress calculations'!$EY$5:$IW$40,35,FALSE)</f>
        <v>0.36432614664904361</v>
      </c>
      <c r="FD155" s="5">
        <f>HLOOKUP(FD$1,'Stress calculations'!$EY$5:$IW$40,35,FALSE)</f>
        <v>2.0248480000000006E-2</v>
      </c>
      <c r="FE155" s="5">
        <f>HLOOKUP(FE$1,'Stress calculations'!$EY$5:$IW$40,35,FALSE)</f>
        <v>0.28291581508515834</v>
      </c>
      <c r="FF155" s="5">
        <f>HLOOKUP(FF$1,'Stress calculations'!$EY$5:$IW$40,35,FALSE)</f>
        <v>0.12040762368207633</v>
      </c>
      <c r="FG155" s="5">
        <f>HLOOKUP(FG$1,'Stress calculations'!$EY$5:$IW$40,35,FALSE)</f>
        <v>5.8098783454987812E-2</v>
      </c>
      <c r="FH155" s="5">
        <f>HLOOKUP(FH$1,'Stress calculations'!$EY$5:$IW$40,35,FALSE)</f>
        <v>7.6714285714285721E-2</v>
      </c>
      <c r="FI155" s="5">
        <f>HLOOKUP(FI$1,'Stress calculations'!$EY$5:$IW$40,35,FALSE)</f>
        <v>2.581730769230774E-2</v>
      </c>
      <c r="FJ155" s="5">
        <f>HLOOKUP(FJ$1,'Stress calculations'!$EY$5:$IW$40,35,FALSE)</f>
        <v>8.0550000000000413E-3</v>
      </c>
      <c r="FK155" s="5">
        <f>HLOOKUP(FK$1,'Stress calculations'!$EY$5:$IW$40,35,FALSE)</f>
        <v>3.3222399999999978E-2</v>
      </c>
      <c r="FL155" s="64" t="e">
        <f t="shared" si="204"/>
        <v>#N/A</v>
      </c>
      <c r="FM155" s="280">
        <f t="shared" si="206"/>
        <v>0.11750000000000016</v>
      </c>
    </row>
    <row r="156" spans="154:169" ht="15" thickBot="1">
      <c r="EX156" s="86">
        <v>2050</v>
      </c>
      <c r="EY156" s="111" t="e">
        <f>HLOOKUP(EY$1,'Stress calculations'!$EY$5:$IW$40,36,FALSE)</f>
        <v>#N/A</v>
      </c>
      <c r="EZ156" s="111">
        <f>HLOOKUP(EZ$1,'Stress calculations'!$EY$5:$IW$40,36,FALSE)</f>
        <v>0</v>
      </c>
      <c r="FA156" s="111">
        <f>HLOOKUP(FA$1,'Stress calculations'!$EY$5:$IW$40,36,FALSE)</f>
        <v>0.1262488008347824</v>
      </c>
      <c r="FB156" s="111">
        <f>HLOOKUP(FB$1,'Stress calculations'!$EY$5:$IW$40,36,FALSE)</f>
        <v>0.05</v>
      </c>
      <c r="FC156" s="111">
        <f>HLOOKUP(FC$1,'Stress calculations'!$EY$5:$IW$40,36,FALSE)</f>
        <v>0.37242959916521745</v>
      </c>
      <c r="FD156" s="111">
        <f>HLOOKUP(FD$1,'Stress calculations'!$EY$5:$IW$40,36,FALSE)</f>
        <v>2.0361600000000001E-2</v>
      </c>
      <c r="FE156" s="111">
        <f>HLOOKUP(FE$1,'Stress calculations'!$EY$5:$IW$40,36,FALSE)</f>
        <v>0.29430656934306587</v>
      </c>
      <c r="FF156" s="111">
        <f>HLOOKUP(FF$1,'Stress calculations'!$EY$5:$IW$40,36,FALSE)</f>
        <v>0.12525547445255486</v>
      </c>
      <c r="FG156" s="111">
        <f>HLOOKUP(FG$1,'Stress calculations'!$EY$5:$IW$40,36,FALSE)</f>
        <v>6.0437956204379528E-2</v>
      </c>
      <c r="FH156" s="111">
        <f>HLOOKUP(FH$1,'Stress calculations'!$EY$5:$IW$40,36,FALSE)</f>
        <v>8.1000000000000003E-2</v>
      </c>
      <c r="FI156" s="111">
        <f>HLOOKUP(FI$1,'Stress calculations'!$EY$5:$IW$40,36,FALSE)</f>
        <v>2.6999999999999958E-2</v>
      </c>
      <c r="FJ156" s="111">
        <f>HLOOKUP(FJ$1,'Stress calculations'!$EY$5:$IW$40,36,FALSE)</f>
        <v>8.4000000000000064E-3</v>
      </c>
      <c r="FK156" s="111">
        <f>HLOOKUP(FK$1,'Stress calculations'!$EY$5:$IW$40,36,FALSE)</f>
        <v>3.4559999999999924E-2</v>
      </c>
      <c r="FL156" s="171" t="e">
        <f t="shared" si="204"/>
        <v>#N/A</v>
      </c>
      <c r="FM156" s="348">
        <f t="shared" si="206"/>
        <v>0.10000000000000017</v>
      </c>
    </row>
    <row r="1048576" spans="259:259">
      <c r="IY1048576" s="3"/>
    </row>
  </sheetData>
  <mergeCells count="78">
    <mergeCell ref="A104:G104"/>
    <mergeCell ref="A109:G109"/>
    <mergeCell ref="A114:G114"/>
    <mergeCell ref="JE7:JE9"/>
    <mergeCell ref="A81:G81"/>
    <mergeCell ref="A86:G86"/>
    <mergeCell ref="A91:G91"/>
    <mergeCell ref="A99:G99"/>
    <mergeCell ref="A76:G76"/>
    <mergeCell ref="A49:F49"/>
    <mergeCell ref="A52:F52"/>
    <mergeCell ref="H56:J56"/>
    <mergeCell ref="O56:Q56"/>
    <mergeCell ref="H66:J66"/>
    <mergeCell ref="O66:Q66"/>
    <mergeCell ref="A37:F37"/>
    <mergeCell ref="A39:F39"/>
    <mergeCell ref="A43:F43"/>
    <mergeCell ref="A46:F46"/>
    <mergeCell ref="H46:J46"/>
    <mergeCell ref="O46:Q46"/>
    <mergeCell ref="H36:J36"/>
    <mergeCell ref="O36:Q36"/>
    <mergeCell ref="A14:F14"/>
    <mergeCell ref="H14:J14"/>
    <mergeCell ref="A15:F15"/>
    <mergeCell ref="A18:F18"/>
    <mergeCell ref="A21:F21"/>
    <mergeCell ref="A24:F24"/>
    <mergeCell ref="H28:J28"/>
    <mergeCell ref="A29:F29"/>
    <mergeCell ref="H29:J29"/>
    <mergeCell ref="G35:J35"/>
    <mergeCell ref="M35:Q35"/>
    <mergeCell ref="A5:F5"/>
    <mergeCell ref="CB6:CJ9"/>
    <mergeCell ref="IZ6:JU6"/>
    <mergeCell ref="A7:F7"/>
    <mergeCell ref="JB7:JB9"/>
    <mergeCell ref="JD7:JD9"/>
    <mergeCell ref="JF7:JG9"/>
    <mergeCell ref="CL9:CQ9"/>
    <mergeCell ref="CR9:CT9"/>
    <mergeCell ref="CU9:DG9"/>
    <mergeCell ref="IJ3:IW4"/>
    <mergeCell ref="BU2:BU3"/>
    <mergeCell ref="BV2:BV3"/>
    <mergeCell ref="BW2:BW3"/>
    <mergeCell ref="BX2:BX3"/>
    <mergeCell ref="BY2:BY3"/>
    <mergeCell ref="EX3:FK4"/>
    <mergeCell ref="FM3:FZ4"/>
    <mergeCell ref="GB3:GO4"/>
    <mergeCell ref="GQ3:HD4"/>
    <mergeCell ref="HF3:HS4"/>
    <mergeCell ref="HU3:IH4"/>
    <mergeCell ref="L1:AL1"/>
    <mergeCell ref="AO1:BW1"/>
    <mergeCell ref="A2:F2"/>
    <mergeCell ref="O2:R2"/>
    <mergeCell ref="S2:V2"/>
    <mergeCell ref="AO2:AS2"/>
    <mergeCell ref="AT2:AW2"/>
    <mergeCell ref="BA2:BA3"/>
    <mergeCell ref="BB2:BB3"/>
    <mergeCell ref="BC2:BC3"/>
    <mergeCell ref="BM2:BM3"/>
    <mergeCell ref="BN2:BN3"/>
    <mergeCell ref="BO2:BO3"/>
    <mergeCell ref="BQ2:BQ3"/>
    <mergeCell ref="BR2:BR3"/>
    <mergeCell ref="BS2:BS3"/>
    <mergeCell ref="BK2:BK3"/>
    <mergeCell ref="BE2:BE3"/>
    <mergeCell ref="BF2:BF3"/>
    <mergeCell ref="BG2:BG3"/>
    <mergeCell ref="BI2:BI3"/>
    <mergeCell ref="BJ2:BJ3"/>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Introduction</vt:lpstr>
      <vt:lpstr>Background</vt:lpstr>
      <vt:lpstr>1 StrategyMix for CarbonTargets</vt:lpstr>
      <vt:lpstr>2 Stress Test Strategy Mix</vt:lpstr>
      <vt:lpstr>3 Adjust Strategy Timings </vt:lpstr>
      <vt:lpstr>4 Impacts On Other Objectives</vt:lpstr>
      <vt:lpstr>Configuration Settings</vt:lpstr>
      <vt:lpstr>Main calculations</vt:lpstr>
      <vt:lpstr>Stress calculations</vt:lpstr>
      <vt:lpstr>Timing calculations</vt:lpstr>
      <vt:lpstr>Sheet4_Considerations</vt:lpstr>
      <vt:lpstr>WfH</vt:lpstr>
      <vt:lpstr>DaS</vt:lpstr>
      <vt:lpstr>HdF</vt:lpstr>
      <vt:lpstr>Localise</vt:lpstr>
      <vt:lpstr>SHIFT_from car driver</vt:lpstr>
      <vt:lpstr>IMPROVE</vt:lpstr>
      <vt:lpstr>NTS9911_20182019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dc:creator>
  <cp:lastModifiedBy>Steve</cp:lastModifiedBy>
  <dcterms:created xsi:type="dcterms:W3CDTF">2021-11-02T13:20:50Z</dcterms:created>
  <dcterms:modified xsi:type="dcterms:W3CDTF">2022-11-07T14:42:53Z</dcterms:modified>
</cp:coreProperties>
</file>